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3" activeTab="58"/>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ТС. Т-подкл(инд)" sheetId="21" state="hidden" r:id="rId22"/>
    <sheet name="ХВС. Т-пит" sheetId="22" state="hidden" r:id="rId23"/>
    <sheet name="ХВС. Т-тех" sheetId="23" state="hidden" r:id="rId24"/>
    <sheet name="ХВС. Т-транс" sheetId="24" state="hidden" r:id="rId25"/>
    <sheet name="ХВС. Т-подвоз"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ФХД'!$O$90</definedName>
    <definedName name="B_FHD_CHECK_INDEX_2">'Показатели ФХД'!$O$92</definedName>
    <definedName name="B_FHD_COSTS_INDEX_1">'Показатели ФХД'!$H$89:$M$89</definedName>
    <definedName name="B_FHD_COSTS_INDEX_2">'Показатели ФХД'!$H$91:$M$91</definedName>
    <definedName name="B_FHD_DATA_TOP80_ACTIVITY">'Показатели ФХД'!$H$105:$M$105</definedName>
    <definedName name="B_FHD_diff_1">'Показатели ФХД'!$I$25:$I$27</definedName>
    <definedName name="B_FHD_FLAG_DIFFERENTIATION">'Показатели ФХД'!$H$24:$M$24</definedName>
    <definedName name="B_FHD_FLAG_INDEX_1">'Показатели ФХД'!$H$90:$M$90</definedName>
    <definedName name="B_FHD_FLAG_INDEX_2">'Показатели ФХД'!$H$92:$M$92</definedName>
    <definedName name="B_FHD_TKO_DATA_TOP80_ACTIVITY">'ТКО. Показатели ФХД'!$H$45:$M$45</definedName>
    <definedName name="B_FHD_TKO_diff_1">'ТКО. Показатели ФХД'!$I$10:$I$12</definedName>
    <definedName name="B_FHD_TKO_FLAG_DIFFERENTIATION">'ТКО. Показатели ФХД'!$H$9:$M$9</definedName>
    <definedName name="B_FHD_TKO_TRANS_DATA_TOP80_ACTIVITY">'ТКО. Транс. Показатели ФХД'!$H$36:$M$36</definedName>
    <definedName name="B_FHD_TKO_TRANS_diff_1">'ТКО. Транс. Показатели ФХД'!$I$10:$I$12</definedName>
    <definedName name="B_FHD_TKO_TRANS_FLAG_DIFFERENTIATION">'ТКО. Транс. Показатели ФХД'!$H$9:$M$9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&gt;20%'!$V$11:$V$50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ОТЭП'!$L$9:$R$9</definedName>
    <definedName name="B_OTEP_HEAT_DATA_TOP80_ACTIVITY">'Показатели ОТЭП'!$L$15:$R$15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ФХД'!$106:$114</definedName>
    <definedName name="BLOCK_POK_FHD_COLDVSNA_P2">'Показатели ФХД'!$139:$143</definedName>
    <definedName name="BLOCK_POK_FHD_HEAT_ONLY_REG_ORG_P1">'Показатели ФХД'!$80:$81</definedName>
    <definedName name="BLOCK_POK_FHD_HEAT_ONLY_REG_ORG_P2">'Показатели ФХД'!$104:$155</definedName>
    <definedName name="BLOCK_POK_FHD_HEAT_P1">'Показатели ФХД'!$33:$64</definedName>
    <definedName name="BLOCK_POK_FHD_HEAT_P2">'Показатели ФХД'!$96:$96</definedName>
    <definedName name="BLOCK_POK_FHD_HEAT_P3">'Показатели ФХД'!$123:$135</definedName>
    <definedName name="BLOCK_POK_FHD_HEAT_P4">'Показатели ФХД'!$137:$137</definedName>
    <definedName name="BLOCK_POK_FHD_HEAT_P5">'Показатели ФХД'!$144:$154</definedName>
    <definedName name="BLOCK_POK_FHD_HEAT_P6">'Показатели ФХД'!$71:$71</definedName>
    <definedName name="BLOCK_POK_FHD_HOTVSNA_P1">'Показатели ФХД'!$65:$67</definedName>
    <definedName name="BLOCK_POK_FHD_HOTVSNA_P2">'Показатели ФХД'!$115:$119</definedName>
    <definedName name="BLOCK_POK_FHD_NOT_HEAT_P1">'Показатели ФХД'!$91:$92</definedName>
    <definedName name="BLOCK_POK_FHD_NOT_HEAT_P2">'Показатели ФХД'!$104:$104</definedName>
    <definedName name="BLOCK_POK_FHD_NOT_HOTVSNA">'Показатели ФХД'!$72:$72</definedName>
    <definedName name="BLOCK_POK_FHD_VOTV_P1">'Показатели ФХД'!$120:$122</definedName>
    <definedName name="BLOCK_POK_FHD_VSNA">'Показатели ФХД'!$138:$138</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RICE_TYPE">Титульный!$16:$16</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Дифференциация!$I$12:$I$24</definedName>
    <definedName name="DIFFERENTIATION_AREA_ID">Дифференциация!$U$11:$U$25</definedName>
    <definedName name="DIFFERENTIATION_CheckC">Дифференциация!$D$12:$M$24</definedName>
    <definedName name="DIFFERENTIATION_fieldMarker">Дифференциация!$W$12:$W$24</definedName>
    <definedName name="DIFFERENTIATION_ID">TEHSHEET!$E$57</definedName>
    <definedName name="DIFFERENTIATION_ID_DIFF">Дифференциация!$O$12:$O$24</definedName>
    <definedName name="DIFFERENTIATION_SYSTEM">Дифференциация!$M$12:$M$24</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Дифференциация!$Q$12:$Q$24</definedName>
    <definedName name="DIFFERENTIATION_UNMERGE_SYSTEM">Дифференциация!$R$12:$R$24</definedName>
    <definedName name="DIFFERENTIATION_UNMERGE_VD">Дифференциация!$P$12:$P$24</definedName>
    <definedName name="DIFFERENTIATION_VD">Дифференциация!$E$12:$E$24</definedName>
    <definedName name="DIFFERENTIATION_VD_ID">Дифференциация!$V$11:$V$25</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Ограничения!$F$36:$Q$36</definedName>
    <definedName name="flag_Q_LIMIT_p4">Ограничения!$F$38:$Q$38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Детализация'!$A$635:$A$635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Print">TEHSHEET!$D$6</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type_price">TEHSHEET!$F$10:$F$12</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Комментарии!$C$11:$C$24</definedName>
    <definedName name="pDel_DIFFERENTIATION_AREA">Дифференциация!$G$12:$G$24</definedName>
    <definedName name="pDel_DIFFERENTIATION_SYSTEM">Дифференциация!$K$12:$K$24</definedName>
    <definedName name="pDel_DIFFERENTIATION_VD">Дифференциация!$C$12:$C$24</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ФХД'!$F$64</definedName>
    <definedName name="pIns_B_FHD_2">'Показатели ФХД'!$F$95</definedName>
    <definedName name="pIns_B_FHD_3">'Показатели ФХД'!$F$125</definedName>
    <definedName name="pIns_B_FHD_4">'Показатели ФХД'!$F$143</definedName>
    <definedName name="pIns_B_FHD_5">'Показатели ФХД'!$F$146</definedName>
    <definedName name="pIns_B_FHD_6">'Показатели ФХД'!$F$149</definedName>
    <definedName name="pIns_B_FHD_DIFFERENTIATION">'Показатели ФХД'!$M$24</definedName>
    <definedName name="pIns_B_FHD_TKO_2">'ТКО. Показатели ФХД'!$F$34</definedName>
    <definedName name="pIns_B_FHD_TKO_DIFFERENTIATION">'ТКО. Показатели ФХД'!$M$9</definedName>
    <definedName name="pIns_B_FHD_TKO_TRANS_2">'ТКО. Транс. Показатели ФХД'!$F$29</definedName>
    <definedName name="pIns_B_FHD_TKO_TRANS_DIFFERENTIATION">'ТКО. Транс. Показатели ФХД'!$M$9</definedName>
    <definedName name="pIns_B_FHD20_DIFFERENTIATION">'Показатели ФХД &gt;20%'!$D$50</definedName>
    <definedName name="pIns_B_KNE_DIFFERENTIATION">'Показатели КНЭ'!$Q$6</definedName>
    <definedName name="pIns_B_OTEP_2">'Показатели ОТЭП'!$J$18</definedName>
    <definedName name="pIns_B_OTEP_DIFFERENTIATION">'Показатели ОТЭП'!$Q$9</definedName>
    <definedName name="pIns_B_STANDARTS">'Стандарты качества'!$J$13</definedName>
    <definedName name="pIns_CHANGE_INFO">'Сведения об изменении'!$E$13</definedName>
    <definedName name="pIns_Comm">Комментарии!$E$24</definedName>
    <definedName name="pIns_ED">ЭД!$E$13</definedName>
    <definedName name="pIns_IP_DETAILED">'ИП. Детализация'!$F$635</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Ограничения!$Q$25</definedName>
    <definedName name="pIns_Q_PH_DIFFERENTIATION">'Потребительские характеристики'!$Q$8</definedName>
    <definedName name="pIns_Q_TP_1">ТП!$E$22</definedName>
    <definedName name="pIns_Q_TP_DIFFERENTIATION">ТП!$L$8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Ограничения!$Q$26</definedName>
    <definedName name="pNote_Q_PH">'Потребительские характеристики'!$Q$9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Ограничения!$E$32:$Q$39</definedName>
    <definedName name="Q_LIMIT_diff_1">Ограничения!$I$26:$J$28</definedName>
    <definedName name="Q_LIMIT_p3">Ограничения!$F$36:$Q$37</definedName>
    <definedName name="Q_LIMIT_p4">Ограничения!$F$38:$Q$39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ФХД'!$M$155</definedName>
    <definedName name="tblEnd_1_B_FHD_TKO">'ТКО. Показатели ФХД'!$M$49</definedName>
    <definedName name="tblEnd_1_B_FHD_TKO_TRANS">'ТКО. Транс. Показатели ФХД'!$M$43</definedName>
    <definedName name="tblEnd_1_B_KNE">'Показатели КНЭ'!$J$101</definedName>
    <definedName name="tblEnd_1_B_OTEP">'Показатели ОТЭП'!$Q$34</definedName>
    <definedName name="tblEnd_1_B_STANDARTS">'Стандарты качества'!$L$13</definedName>
    <definedName name="tblEnd_1_CHANGE_INFO">'Сведения об изменении'!$E$14</definedName>
    <definedName name="tblEnd_1_DIFFERENTIATION">Дифференциация!$M$25</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Детализация'!$AH$635</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Ограничения!$Q$40</definedName>
    <definedName name="tblEnd_1_Q_PH">'Потребительские характеристики'!$Q$21</definedName>
    <definedName name="tblEnd_1_Q_TP">ТП!$L$23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PRICE_TYPE">Титульный!$F$16</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Дифференциация!$F$12:$F$24</definedName>
    <definedName name="Y_N_DIFFERENTIATION_SYSTEM">Дифференциация!$J$12:$J$24</definedName>
    <definedName name="YEAR_IP_LIST">TEHSHEET!$BE$2:$BE$74</definedName>
    <definedName name="year_list">TEHSHEET!$C$2:$C$6</definedName>
    <definedName name="year_list1">TEHSHEET!$B$2:$B$27</definedName>
    <definedName name="et_B_FHD20_1">et_union_hor!$127:$135</definedName>
    <definedName name="ter_5">'Список территорий'!$G$16:$I$16</definedName>
    <definedName name="ter_51">'Список территорий'!$G$19:$I$19</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DESCRIPTION_TERRITORY">REESTR_DS!$B$2:$B$4</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IP_MAIN_ip_5">ИП!$13:$14</definedName>
    <definedName name="IP_QRE_ip_5">'ИП. КНЭ'!$21:$23</definedName>
    <definedName name="IP_DETAILED_ip_5">'ИП. Детализация'!$14:$634</definedName>
    <definedName name="IP_FIN_PLAN_ip_5">'ИП. Финансовый план'!$K$11:$R$11</definedName>
    <definedName name="REESTR_INFR_RANGE">REESTR_OBJ_INFR!$A$2:$AL$13</definedName>
    <definedName name="VD_LIST">REESTR_VED!$A$2:$B$11</definedName>
    <definedName name="VD_ID_LIST">REESTR_VED!$A$2:$A$11</definedName>
    <definedName name="VD_NAME_LIST">REESTR_VED!$B$2:$B$11</definedName>
    <definedName name="REESTR_IP_RANGE">REESTR_IP!$A$2:$I$5</definedName>
    <definedName name="_xlnm._FilterDatabase" localSheetId="59">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<sst xmlns="http://schemas.openxmlformats.org/spreadsheetml/2006/main" count="19434" uniqueCount="3991">
  <si>
    <t xml:space="preserve"> (требуется обновление)</t>
  </si>
  <si>
    <t>Код отчёта: PP110.OPEN.INFO.BALANCE.HEAT.EIAS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</si>
  <si>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</si>
  <si>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</si>
  <si>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</si>
  <si>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</si>
  <si>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</si>
  <si>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</si>
  <si>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</si>
  <si>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</si>
  <si>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</si>
  <si>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</si>
  <si>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</si>
  <si>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</si>
  <si>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</si>
  <si>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</si>
  <si>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</si>
  <si>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</si>
  <si>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</si>
  <si>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</si>
  <si>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</si>
  <si>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</si>
  <si>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</si>
  <si>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</si>
  <si>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</si>
  <si>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</si>
  <si>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</si>
  <si>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</si>
  <si>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</si>
  <si>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</si>
  <si>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</si>
  <si>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</si>
  <si>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</si>
  <si>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</si>
  <si>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</si>
  <si>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</si>
  <si>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Организация осуществляет деятельность</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</si>
  <si>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</si>
  <si>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</si>
  <si>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</si>
  <si>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</si>
  <si>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</si>
  <si>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</si>
  <si>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</si>
  <si>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</si>
  <si>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</si>
  <si>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</si>
  <si>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</si>
  <si>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</si>
  <si>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</si>
  <si>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</si>
  <si>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</si>
  <si>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</si>
  <si>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</si>
  <si>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</si>
  <si>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</si>
  <si>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</si>
  <si>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</si>
  <si>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</si>
  <si>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</si>
  <si>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</si>
  <si>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</si>
  <si>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</si>
  <si>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</si>
  <si>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</si>
  <si>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</si>
  <si>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</si>
  <si>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</si>
  <si>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</si>
  <si>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</si>
  <si>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</si>
  <si>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680000, г. Хабаровск, ул. Фрунзе, 49 </t>
  </si>
  <si>
    <t>Фамилия, имя, отчество руководителя</t>
  </si>
  <si>
    <t>Иртов Сергей Викторович</t>
  </si>
  <si>
    <t>Ответственный за заполнение формы</t>
  </si>
  <si>
    <t>Фамилия, имя, отчество</t>
  </si>
  <si>
    <t>Старовецкая Анна Васильевна</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</si>
  <si>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</si>
  <si>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</si>
  <si>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</si>
  <si>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</si>
  <si>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</si>
  <si>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</si>
  <si>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</si>
  <si>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</si>
  <si>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</si>
  <si>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</si>
  <si>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</si>
  <si>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</si>
  <si>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</si>
  <si>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</si>
  <si>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</si>
  <si>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</si>
  <si>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</si>
  <si>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</si>
  <si>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</si>
  <si>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</si>
  <si>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</si>
  <si>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</si>
  <si>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</si>
  <si>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Артемовский городской округ</t>
  </si>
  <si>
    <t>05705000</t>
  </si>
  <si>
    <t>Добавить МО</t>
  </si>
  <si>
    <t>2</t>
  </si>
  <si>
    <t>×</t>
  </si>
  <si>
    <t>ter_5</t>
  </si>
  <si>
    <t>Владивостокский городской округ</t>
  </si>
  <si>
    <t>05701000</t>
  </si>
  <si>
    <t>ter_51</t>
  </si>
  <si>
    <t>60</t>
  </si>
  <si>
    <t>Партизанский городской округ</t>
  </si>
  <si>
    <t>05717000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</si>
  <si>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</si>
  <si>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</si>
  <si>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</si>
  <si>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</si>
  <si>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</si>
  <si>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</si>
  <si>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</si>
  <si>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</si>
  <si>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</si>
  <si>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</si>
  <si>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</si>
  <si>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</si>
  <si>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</si>
  <si>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Артемовская ТЭЦ, ТС г. Артем</t>
  </si>
  <si>
    <t>diff_1</t>
  </si>
  <si>
    <t>4190066; 4190067; 4190068; 4190069; 4190070; 4190071</t>
  </si>
  <si>
    <t>a</t>
  </si>
  <si>
    <t>Добавить централизованную систему</t>
  </si>
  <si>
    <t>Партизанская ГРЭС, ТС г. Партизанск</t>
  </si>
  <si>
    <t>diff_5</t>
  </si>
  <si>
    <t>Добавить описание территории</t>
  </si>
  <si>
    <t>Восточная ТЭЦ, котельные г. Владивосток, ТС г. Владивосток</t>
  </si>
  <si>
    <t>diff_51</t>
  </si>
  <si>
    <t>4190064; 4190066; 4190067; 4190068; 4190069; 4190070; 4190071</t>
  </si>
  <si>
    <t>diff_511</t>
  </si>
  <si>
    <t>4190072</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</si>
  <si>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</si>
  <si>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</si>
  <si>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</si>
  <si>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</si>
  <si>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</si>
  <si>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</si>
  <si>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</si>
  <si>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</si>
  <si>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</si>
  <si>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</si>
  <si>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</si>
  <si>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</si>
  <si>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</si>
  <si>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</si>
  <si>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</si>
  <si>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</si>
  <si>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</si>
  <si>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</si>
  <si>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</si>
  <si>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</si>
  <si>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</si>
  <si>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</si>
  <si>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</si>
  <si>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</si>
  <si>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</si>
  <si>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</si>
  <si>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</si>
  <si>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</si>
  <si>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</si>
  <si>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</si>
  <si>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</si>
  <si>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</si>
  <si>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</si>
  <si>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</si>
  <si>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</si>
  <si>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</si>
  <si>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</si>
  <si>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</si>
  <si>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</si>
  <si>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</si>
  <si>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</si>
  <si>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</si>
  <si>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</si>
  <si>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</si>
  <si>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</si>
  <si>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</si>
  <si>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</si>
  <si>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</si>
  <si>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</si>
  <si>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</si>
  <si>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</si>
  <si>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</si>
  <si>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</si>
  <si>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</si>
  <si>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</si>
  <si>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</si>
  <si>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</si>
  <si>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</si>
  <si>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</si>
  <si>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</si>
  <si>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</si>
  <si>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</si>
  <si>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</si>
  <si>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</si>
  <si>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</si>
  <si>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</si>
  <si>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</si>
  <si>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</si>
  <si>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</si>
  <si>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</si>
  <si>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</si>
  <si>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</si>
  <si>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</si>
  <si>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</si>
  <si>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</si>
  <si>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</si>
  <si>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</si>
  <si>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</si>
  <si>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</si>
  <si>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</si>
  <si>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</si>
  <si>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</si>
  <si>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</si>
  <si>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</si>
  <si>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</si>
  <si>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</si>
  <si>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</si>
  <si>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</si>
  <si>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</si>
  <si>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</si>
  <si>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</si>
  <si>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</si>
  <si>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</si>
  <si>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</si>
  <si>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</si>
  <si>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</si>
  <si>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</si>
  <si>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</si>
  <si>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</si>
  <si>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</si>
  <si>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</si>
  <si>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</si>
  <si>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</si>
  <si>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</si>
  <si>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</si>
  <si>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</si>
  <si>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</si>
  <si>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</si>
  <si>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</si>
  <si>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</si>
  <si>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</si>
  <si>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</si>
  <si>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</si>
  <si>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</si>
  <si>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</si>
  <si>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</si>
  <si>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</si>
  <si>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</si>
  <si>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</si>
  <si>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</si>
  <si>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</si>
  <si>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</si>
  <si>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</si>
  <si>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</si>
  <si>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</si>
  <si>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</si>
  <si>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</si>
  <si>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</si>
  <si>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</si>
  <si>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</si>
  <si>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</si>
  <si>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</si>
  <si>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</si>
  <si>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</si>
  <si>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</si>
  <si>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</si>
  <si>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</si>
  <si>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</si>
  <si>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</si>
  <si>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</si>
  <si>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</si>
  <si>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</si>
  <si>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</si>
  <si>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</si>
  <si>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</si>
  <si>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</si>
  <si>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</si>
  <si>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</si>
  <si>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</si>
  <si>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</si>
  <si>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</si>
  <si>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</si>
  <si>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</si>
  <si>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</si>
  <si>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</si>
  <si>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</si>
  <si>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</si>
  <si>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</si>
  <si>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</si>
  <si>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</si>
  <si>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</si>
  <si>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</si>
  <si>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</si>
  <si>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</si>
  <si>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</si>
  <si>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</si>
  <si>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</si>
  <si>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</si>
  <si>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</si>
  <si>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</si>
  <si>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</si>
  <si>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</si>
  <si>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</si>
  <si>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</si>
  <si>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</si>
  <si>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</si>
  <si>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</si>
  <si>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</si>
  <si>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</si>
  <si>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</si>
  <si>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</si>
  <si>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</si>
  <si>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</si>
  <si>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</si>
  <si>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</si>
  <si>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</si>
  <si>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</si>
  <si>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</si>
  <si>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</si>
  <si>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</si>
  <si>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</si>
  <si>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</si>
  <si>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</si>
  <si>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</si>
  <si>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</si>
  <si>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</si>
  <si>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</si>
  <si>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</si>
  <si>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</si>
  <si>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</si>
  <si>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</si>
  <si>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</si>
  <si>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</si>
  <si>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</si>
  <si>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</si>
  <si>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</si>
  <si>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</si>
  <si>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</si>
  <si>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</si>
  <si>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</si>
  <si>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</si>
  <si>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</si>
  <si>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</si>
  <si>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</si>
  <si>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</si>
  <si>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</si>
  <si>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</si>
  <si>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</si>
  <si>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</si>
  <si>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</si>
  <si>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</si>
  <si>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</si>
  <si>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</si>
  <si>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</si>
  <si>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</si>
  <si>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</si>
  <si>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</si>
  <si>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</si>
  <si>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</si>
  <si>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</si>
  <si>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</si>
  <si>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</si>
  <si>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</si>
  <si>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</si>
  <si>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</si>
  <si>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</si>
  <si>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</si>
  <si>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</si>
  <si>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</si>
  <si>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</si>
  <si>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</si>
  <si>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</si>
  <si>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</si>
  <si>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</si>
  <si>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</si>
  <si>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</si>
  <si>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</si>
  <si>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</si>
  <si>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</si>
  <si>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</si>
  <si>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</si>
  <si>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</si>
  <si>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</si>
  <si>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</si>
  <si>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</si>
  <si>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</si>
  <si>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</si>
  <si>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</si>
  <si>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</si>
  <si>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</si>
  <si>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</si>
  <si>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</si>
  <si>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</si>
  <si>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</si>
  <si>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</si>
  <si>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</si>
  <si>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</si>
  <si>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</si>
  <si>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</si>
  <si>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</si>
  <si>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</si>
  <si>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</si>
  <si>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</si>
  <si>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</si>
  <si>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</si>
  <si>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</si>
  <si>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</si>
  <si>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</si>
  <si>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</si>
  <si>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</si>
  <si>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</si>
  <si>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</si>
  <si>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</si>
  <si>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</si>
  <si>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</si>
  <si>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</si>
  <si>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</si>
  <si>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</si>
  <si>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</si>
  <si>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</si>
  <si>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</si>
  <si>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</si>
  <si>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</si>
  <si>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</si>
  <si>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</si>
  <si>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</si>
  <si>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</si>
  <si>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</si>
  <si>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</si>
  <si>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</si>
  <si>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</si>
  <si>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</si>
  <si>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</si>
  <si>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</si>
  <si>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</si>
  <si>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</si>
  <si>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</si>
  <si>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</si>
  <si>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</si>
  <si>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</si>
  <si>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</si>
  <si>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</si>
  <si>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</si>
  <si>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</si>
  <si>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</si>
  <si>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</si>
  <si>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</si>
  <si>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</si>
  <si>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</si>
  <si>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</si>
  <si>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</si>
  <si>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</si>
  <si>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</si>
  <si>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</si>
  <si>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</si>
  <si>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</si>
  <si>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</si>
  <si>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</si>
  <si>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</si>
  <si>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</si>
  <si>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</si>
  <si>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</si>
  <si>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</si>
  <si>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</si>
  <si>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</si>
  <si>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</si>
  <si>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</si>
  <si>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</si>
  <si>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</si>
  <si>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</si>
  <si>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</si>
  <si>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</si>
  <si>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</si>
  <si>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</si>
  <si>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</si>
  <si>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</si>
  <si>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</si>
  <si>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</si>
  <si>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</si>
  <si>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</si>
  <si>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</si>
  <si>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</si>
  <si>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</si>
  <si>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</si>
  <si>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Заявитель</t>
  </si>
  <si>
    <t>Наименование объекта, адрес</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</si>
  <si>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</si>
  <si>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</si>
  <si>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</si>
  <si>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</si>
  <si>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</si>
  <si>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</si>
  <si>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</si>
  <si>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</si>
  <si>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</si>
  <si>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</si>
  <si>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</si>
  <si>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</si>
  <si>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</si>
  <si>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</si>
  <si>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</si>
  <si>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</si>
  <si>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</si>
  <si>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</si>
  <si>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</si>
  <si>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</si>
  <si>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</si>
  <si>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</si>
  <si>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</si>
  <si>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</si>
  <si>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Дата документа об утверждении тарифов</t>
  </si>
  <si>
    <t>Номер документа об утверждении тарифов</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</si>
  <si>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</si>
  <si>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</si>
  <si>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</si>
  <si>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</si>
  <si>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</si>
  <si>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</si>
  <si>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</si>
  <si>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</si>
  <si>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</si>
  <si>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</si>
  <si>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</si>
  <si>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</si>
  <si>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</si>
  <si>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</si>
  <si>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</si>
  <si>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</si>
  <si>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</si>
  <si>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</si>
  <si>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</si>
  <si>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</si>
  <si>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</si>
  <si>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</si>
  <si>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</si>
  <si>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</si>
  <si>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</si>
  <si>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</si>
  <si>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</si>
  <si>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</si>
  <si>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</si>
  <si>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</si>
  <si>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</si>
  <si>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</si>
  <si>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</si>
  <si>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</si>
  <si>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</si>
  <si>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</si>
  <si>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</si>
  <si>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</si>
  <si>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</si>
  <si>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</si>
  <si>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</si>
  <si>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</si>
  <si>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</si>
  <si>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</si>
  <si>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</si>
  <si>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</si>
  <si>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</si>
  <si>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</si>
  <si>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</si>
  <si>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</si>
  <si>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</si>
  <si>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</si>
  <si>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</si>
  <si>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</si>
  <si>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</si>
  <si>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</si>
  <si>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</si>
  <si>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</si>
  <si>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</si>
  <si>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</si>
  <si>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</si>
  <si>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</si>
  <si>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газ природный по регулируемой цене</t>
  </si>
  <si>
    <t>тыс м3</t>
  </si>
  <si>
    <t>уголь каменный</t>
  </si>
  <si>
    <t>тонны</t>
  </si>
  <si>
    <t>мазут</t>
  </si>
  <si>
    <t>дизельное топливо</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</si>
  <si>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</si>
  <si>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</si>
  <si>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</si>
  <si>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</si>
  <si>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</si>
  <si>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</si>
  <si>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</si>
  <si>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</si>
  <si>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</si>
  <si>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</si>
  <si>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</si>
  <si>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hyp</t>
  </si>
  <si>
    <t>https://portal.eias.ru/Portal/DownloadPage.aspx?type=12&amp;guid=4f23d212-4ade-473d-9866-306c0648052c</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</si>
  <si>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</si>
  <si>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</si>
  <si>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</si>
  <si>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</si>
  <si>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</si>
  <si>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</si>
  <si>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</si>
  <si>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</si>
  <si>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</si>
  <si>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</si>
  <si>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</si>
  <si>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</si>
  <si>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</si>
  <si>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</si>
  <si>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</si>
  <si>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</si>
  <si>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</si>
  <si>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</si>
  <si>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</si>
  <si>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</si>
  <si>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</si>
  <si>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</si>
  <si>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</si>
  <si>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</si>
  <si>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</si>
  <si>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</si>
  <si>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</si>
  <si>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</si>
  <si>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</si>
  <si>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</si>
  <si>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</si>
  <si>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</si>
  <si>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</si>
  <si>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</si>
  <si>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</si>
  <si>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</si>
  <si>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</si>
  <si>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</si>
  <si>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</si>
  <si>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</si>
  <si>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</si>
  <si>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</si>
  <si>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</si>
  <si>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</si>
  <si>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</si>
  <si>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</si>
  <si>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</si>
  <si>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</si>
  <si>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</si>
  <si>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</si>
  <si>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</si>
  <si>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</si>
  <si>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</si>
  <si>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</si>
  <si>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</si>
  <si>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</si>
  <si>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</si>
  <si>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</si>
  <si>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</si>
  <si>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</si>
  <si>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</si>
  <si>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</si>
  <si>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</si>
  <si>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</si>
  <si>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</si>
  <si>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</si>
  <si>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</si>
  <si>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</si>
  <si>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</si>
  <si>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</si>
  <si>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</si>
  <si>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</si>
  <si>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</si>
  <si>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</si>
  <si>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</si>
  <si>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</si>
  <si>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</si>
  <si>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</si>
  <si>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</si>
  <si>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</si>
  <si>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</si>
  <si>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</si>
  <si>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</si>
  <si>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</si>
  <si>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</si>
  <si>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</si>
  <si>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</si>
  <si>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</si>
  <si>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</si>
  <si>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</si>
  <si>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</si>
  <si>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</si>
  <si>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</si>
  <si>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</si>
  <si>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</si>
  <si>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</si>
  <si>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</si>
  <si>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</si>
  <si>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</si>
  <si>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</si>
  <si>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</si>
  <si>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</si>
  <si>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</si>
  <si>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</si>
  <si>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</si>
  <si>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</si>
  <si>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</si>
  <si>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</si>
  <si>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</si>
  <si>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</si>
  <si>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</si>
  <si>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</si>
  <si>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</si>
  <si>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</si>
  <si>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</si>
  <si>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</si>
  <si>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</si>
  <si>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</si>
  <si>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</si>
  <si>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</si>
  <si>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</si>
  <si>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</si>
  <si>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</si>
  <si>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</si>
  <si>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</si>
  <si>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</si>
  <si>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</si>
  <si>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</si>
  <si>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</si>
  <si>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</si>
  <si>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</si>
  <si>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</si>
  <si>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</si>
  <si>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</si>
  <si>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</si>
  <si>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</si>
  <si>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</si>
  <si>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</si>
  <si>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</si>
  <si>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</si>
  <si>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</si>
  <si>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</si>
  <si>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</si>
  <si>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</si>
  <si>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</si>
  <si>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</si>
  <si>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</si>
  <si>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</si>
  <si>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</si>
  <si>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</si>
  <si>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</si>
  <si>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</si>
  <si>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</si>
  <si>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</si>
  <si>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</si>
  <si>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</si>
  <si>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</si>
  <si>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</si>
  <si>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</si>
  <si>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</si>
  <si>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</si>
  <si>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</si>
  <si>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</si>
  <si>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</si>
  <si>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</si>
  <si>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</si>
  <si>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</si>
  <si>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</si>
  <si>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</si>
  <si>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</si>
  <si>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</si>
  <si>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</si>
  <si>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</si>
  <si>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</si>
  <si>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</si>
  <si>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</si>
  <si>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</si>
  <si>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</si>
  <si>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</si>
  <si>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</si>
  <si>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</si>
  <si>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</si>
  <si>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</si>
  <si>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</si>
  <si>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</si>
  <si>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</si>
  <si>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</si>
  <si>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</si>
  <si>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</si>
  <si>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</si>
  <si>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</si>
  <si>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</si>
  <si>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</si>
  <si>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</si>
  <si>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</si>
  <si>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</si>
  <si>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</si>
  <si>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</si>
  <si>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</si>
  <si>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</si>
  <si>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</si>
  <si>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</si>
  <si>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</si>
  <si>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</si>
  <si>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</si>
  <si>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</si>
  <si>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</si>
  <si>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</si>
  <si>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</si>
  <si>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</si>
  <si>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</si>
  <si>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</si>
  <si>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</si>
  <si>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</si>
  <si>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</si>
  <si>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</si>
  <si>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</si>
  <si>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</si>
  <si>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</si>
  <si>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</si>
  <si>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</si>
  <si>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</si>
  <si>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</si>
  <si>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</si>
  <si>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</si>
  <si>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</si>
  <si>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</si>
  <si>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</si>
  <si>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</si>
  <si>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</si>
  <si>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</si>
  <si>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</si>
  <si>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</si>
  <si>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</si>
  <si>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</si>
  <si>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</si>
  <si>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</si>
  <si>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</si>
  <si>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</si>
  <si>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</si>
  <si>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</si>
  <si>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</si>
  <si>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</si>
  <si>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</si>
  <si>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</si>
  <si>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</si>
  <si>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</si>
  <si>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</si>
  <si>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</si>
  <si>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</si>
  <si>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</si>
  <si>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</si>
  <si>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</si>
  <si>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</si>
  <si>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</si>
  <si>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</si>
  <si>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</si>
  <si>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</si>
  <si>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</si>
  <si>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</si>
  <si>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</si>
  <si>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</si>
  <si>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Постановление Агентства по тарифам Приморского края от 20.12.2023 №71/1</t>
  </si>
  <si>
    <t>https://portal.eias.ru/Portal/DownloadPage.aspx?type=12&amp;guid=f672db1c-7181-4d47-a9fa-bb1cbf1b4f20</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</si>
  <si>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</si>
  <si>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</si>
  <si>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</si>
  <si>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</si>
  <si>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</si>
  <si>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</si>
  <si>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</si>
  <si>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</si>
  <si>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</si>
  <si>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</si>
  <si>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</si>
  <si>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</si>
  <si>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</si>
  <si>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</si>
  <si>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</si>
  <si>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</si>
  <si>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</si>
  <si>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</si>
  <si>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</si>
  <si>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</si>
  <si>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</si>
  <si>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</si>
  <si>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</si>
  <si>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</si>
  <si>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</si>
  <si>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</si>
  <si>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</si>
  <si>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</si>
  <si>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</si>
  <si>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</si>
  <si>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</si>
  <si>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</si>
  <si>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</si>
  <si>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</si>
  <si>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</si>
  <si>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</si>
  <si>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</si>
  <si>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</si>
  <si>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</si>
  <si>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</si>
  <si>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</si>
  <si>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</si>
  <si>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</si>
  <si>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</si>
  <si>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</si>
  <si>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</si>
  <si>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</si>
  <si>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</si>
  <si>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</si>
  <si>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</si>
  <si>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</si>
  <si>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</si>
  <si>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</si>
  <si>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</si>
  <si>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</si>
  <si>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</si>
  <si>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</si>
  <si>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</si>
  <si>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</si>
  <si>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</si>
  <si>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</si>
  <si>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</si>
  <si>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</si>
  <si>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</si>
  <si>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</si>
  <si>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</si>
  <si>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</si>
  <si>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</si>
  <si>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</si>
  <si>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</si>
  <si>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</si>
  <si>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</si>
  <si>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</si>
  <si>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</si>
  <si>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</si>
  <si>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</si>
  <si>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</si>
  <si>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</si>
  <si>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</si>
  <si>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</si>
  <si>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</si>
  <si>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</si>
  <si>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</si>
  <si>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</si>
  <si>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</si>
  <si>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</si>
  <si>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</si>
  <si>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</si>
  <si>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</si>
  <si>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</si>
  <si>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</si>
  <si>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</si>
  <si>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</si>
  <si>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</si>
  <si>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</si>
  <si>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</si>
  <si>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</si>
  <si>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</si>
  <si>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</si>
  <si>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</si>
  <si>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</si>
  <si>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</si>
  <si>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</si>
  <si>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</si>
  <si>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</si>
  <si>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</si>
  <si>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</si>
  <si>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</si>
  <si>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</si>
  <si>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</si>
  <si>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</si>
  <si>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</si>
  <si>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</si>
  <si>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</si>
  <si>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</si>
  <si>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</si>
  <si>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</si>
  <si>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</si>
  <si>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</si>
  <si>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</si>
  <si>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</si>
  <si>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</si>
  <si>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</si>
  <si>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</si>
  <si>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</si>
  <si>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</si>
  <si>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</si>
  <si>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</si>
  <si>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</si>
  <si>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</si>
  <si>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</si>
  <si>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</si>
  <si>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</si>
  <si>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</si>
  <si>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</si>
  <si>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</si>
  <si>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</si>
  <si>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</si>
  <si>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</si>
  <si>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</si>
  <si>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</si>
  <si>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</si>
  <si>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</si>
  <si>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</si>
  <si>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</si>
  <si>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</si>
  <si>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</si>
  <si>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</si>
  <si>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</si>
  <si>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</si>
  <si>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</si>
  <si>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</si>
  <si>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</si>
  <si>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</si>
  <si>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</si>
  <si>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</si>
  <si>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</si>
  <si>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</si>
  <si>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</si>
  <si>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</si>
  <si>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</si>
  <si>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</si>
  <si>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</si>
  <si>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</si>
  <si>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жилищно-коммунального хозяйства Приморского края
</t>
  </si>
  <si>
    <t xml:space="preserve">"1. Администрация города Владивостока  Приморского края
2. Администрация Артемовского городского округа Приморского края
3. Администрация муниципального образования город Партизанск"
</t>
  </si>
  <si>
    <t>29.08.2025</t>
  </si>
  <si>
    <t>31.12.2030</t>
  </si>
  <si>
    <t>Об утверждении инвестиционной программы акционерного общества "Дальневосточная генерирующая компания" в сфере теплоснабжения по Приморскому краю на период 2025-2030 годы</t>
  </si>
  <si>
    <t>приказ</t>
  </si>
  <si>
    <t>пр.19-259/2</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</si>
  <si>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</si>
  <si>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</si>
  <si>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</si>
  <si>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</si>
  <si>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</si>
  <si>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</si>
  <si>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</si>
  <si>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</si>
  <si>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</si>
  <si>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</si>
  <si>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</si>
  <si>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</si>
  <si>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</si>
  <si>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</si>
  <si>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</si>
  <si>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</si>
  <si>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</si>
  <si>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</si>
  <si>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</si>
  <si>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</si>
  <si>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</si>
  <si>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</si>
  <si>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</si>
  <si>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</si>
  <si>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</si>
  <si>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</si>
  <si>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</si>
  <si>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</si>
  <si>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</si>
  <si>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</si>
  <si>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</si>
  <si>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</si>
  <si>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</si>
  <si>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</si>
  <si>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</si>
  <si>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 xml:space="preserve">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
</t>
  </si>
  <si>
    <t>Декабрь</t>
  </si>
  <si>
    <t>2026</t>
  </si>
  <si>
    <t>Срок выполнения не наступил</t>
  </si>
  <si>
    <t>ГТУ-ТЭЦ в г. Владивостоке на площадке ЦПВБ</t>
  </si>
  <si>
    <t>ТИ с сетями</t>
  </si>
  <si>
    <t>г Владивосток</t>
  </si>
  <si>
    <t>05701000001</t>
  </si>
  <si>
    <t>ул.Снеговая</t>
  </si>
  <si>
    <t>22</t>
  </si>
  <si>
    <t xml:space="preserve">      Амортизационные отчисления с выделением результатов переоценки основных средств и нематериальных активов</t>
  </si>
  <si>
    <t>Добавить источник финансирования</t>
  </si>
  <si>
    <t>Добавить объект инфраструктуры</t>
  </si>
  <si>
    <t xml:space="preserve">Замена насосов рециркуляции сетевой воды пиковой водогрейной котельной Восточная ТЭЦ, 9 шт N_505-ПГг-161
</t>
  </si>
  <si>
    <t>2025</t>
  </si>
  <si>
    <t>Май</t>
  </si>
  <si>
    <t>Мероприятия по подготовке проектной документации</t>
  </si>
  <si>
    <t xml:space="preserve">Разработка ПИР для реализации проекта «Реконструкция ТЭЦ Восточная с установкой дополнительных водогрейных котлов", СП ТЭЦ Восточная N_505-ТЭЦВост-3
</t>
  </si>
  <si>
    <t>Не выполнено в соответствии с планом</t>
  </si>
  <si>
    <t>Модернизация водогрейных котлов КВ-ГМ-116,3-150 ст. № 1-3 СП ТЭЦ Восточная" P_505-ТЭЦВост-11</t>
  </si>
  <si>
    <t xml:space="preserve">  Прочие собственные средства</t>
  </si>
  <si>
    <t>реконструкция или модернизация существующих тепловых сетей</t>
  </si>
  <si>
    <t>Техперевооружение теплотрассы УТ 1041- УТ 1043 ул.Пушкинская,  Дн 720х9 L=2х135м.п.  Приморские тепловые сети J_505-ПГт-5-82</t>
  </si>
  <si>
    <t>Октябрь</t>
  </si>
  <si>
    <t>Январь</t>
  </si>
  <si>
    <t>Сети от ВТЭЦ-2</t>
  </si>
  <si>
    <t>сеть</t>
  </si>
  <si>
    <t>ул.Фадеева</t>
  </si>
  <si>
    <t>47</t>
  </si>
  <si>
    <t>Техперевооружение теплотрассы УТ 0707 - УТ 0707/2 ул.Хабаровская,  Дн 325 L=190м.п.   Приморские тепловые сети K_505-ПГт-5-90</t>
  </si>
  <si>
    <t>Владивостокская ТЭЦ-1</t>
  </si>
  <si>
    <t>ул.Западная</t>
  </si>
  <si>
    <t>29</t>
  </si>
  <si>
    <t>Техперевооружение теплотрассы УТ 01095А - УТ 01094 ул.Лазо, Артем  Дн 720/820 L=600м.п.  Приморские тепловые сети L_505-ПГт-5-107</t>
  </si>
  <si>
    <t>2027</t>
  </si>
  <si>
    <t>Артемовская ТЭЦ</t>
  </si>
  <si>
    <t>г Артем</t>
  </si>
  <si>
    <t>05705000001</t>
  </si>
  <si>
    <t>Каширская</t>
  </si>
  <si>
    <t>23</t>
  </si>
  <si>
    <t>Техперевооружение теплотрассы УТ 0141- УТ 0142 ул.Енисейская,  Дн-159 L=100м.п.  Приморские тепловые сети K_505-ПГт-5-93</t>
  </si>
  <si>
    <t>Объединенная котельная "Северная"</t>
  </si>
  <si>
    <t>ул.Бородинская</t>
  </si>
  <si>
    <t>24</t>
  </si>
  <si>
    <t>Техперевооружение теплотрассы  УТ01128-УТ01131 ул. Севастопольская  Дн 530 L=797 ул. Севастопольская, Артем K_505-ПГт-5-98</t>
  </si>
  <si>
    <t>Техперевооружение теплотрассы УТ 1108/02 - УТ 0405 ул.Фонтанная Дн 325 L=580п.м Приморские тепловые сети N_505-ПГт-5-100</t>
  </si>
  <si>
    <t>Техперевооружение теплотрассы УТ 1131 - УТ 1134 ул.Бестужева Дн 530 L=330п.м Приморские тепловые сети N_505-ПГт-5-114</t>
  </si>
  <si>
    <t>Техперевооружение теплотрассы УТ1424 т.А - УТ1426  ул.Ильичева Дн 720 L=2х107м.пПриморские тепловые сети N_505-ПГт-5-135</t>
  </si>
  <si>
    <t>Техперевооружение теплотрассы УТ 0110 - УТ 0112 т.А ул. Русская, Дн 820 L=30п.м. Приморские тепловые сети N_505-ПГт-5-136</t>
  </si>
  <si>
    <t>Техперевооружение теплотрассы УТ1253 - УТ1257 т.Б ул.Калинина - ул.Очаковская Дн 630 L=2х383м.п Приморские тепловые сети N_505-ПТС-5-3</t>
  </si>
  <si>
    <t>15</t>
  </si>
  <si>
    <t>Техперевооружение теплотрассы УТ0707 - УТ0709 ул.Хабаровская Дн 325 L=2х330м.п Приморские тепловые сети N_505-ПТС-5-4</t>
  </si>
  <si>
    <t>16</t>
  </si>
  <si>
    <t>Техперевооружение тепломагистрали УТ 0320/1-УТ0324,  пр. Острякова, Дн 426мм L=2х291 п.м  Приморские тепловые сети N_505-ПТС-5-5</t>
  </si>
  <si>
    <t xml:space="preserve">  Прочие</t>
  </si>
  <si>
    <t>17</t>
  </si>
  <si>
    <t>Техперевооружение теплотрассы УТ 2604тА - УТ 2605 ул. Борисенко, Дн 1020х10 L=142х2п.м. СП  Приморские тепловые сети O_505-ПТС-5-12</t>
  </si>
  <si>
    <t>18</t>
  </si>
  <si>
    <t>Техперевооружение теплотрассы УТ1306-УТ1307 ул.Вязовая, L=260п.м., Ду530/630мм., ПТС O_505-ПТС-5-17</t>
  </si>
  <si>
    <t>19</t>
  </si>
  <si>
    <t>Техперевооружение теплотрассы УТ 1246т.А - УТ 1249 ул. Калинина Ду=630/720 протяженность 640п.м.Структурное подразделение Приморские тепловые сети O_505-ПТС-5-19</t>
  </si>
  <si>
    <t>20</t>
  </si>
  <si>
    <t>Техперевооружение теплотрассы УТ 1009- УТ 1011 ул.Адм.Фокина  Дн 530/720 L=310м.п.  Приморские тепловые сети O_505-ПТС-5-20</t>
  </si>
  <si>
    <t>21</t>
  </si>
  <si>
    <t>Техперевооружение теплотрассы УТ 1084 т.А - УТ 1086 т.А ул.Фадеева  Дн 1020 L=760м.п.  Приморские тепловые сети O_505-ПТС-5-21</t>
  </si>
  <si>
    <t>Техперевооружение  участка УТ 0409 - УТ 0409/2 ул. Семеновская Дн 159 L=150м P_505-ПТС-5-27</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</si>
  <si>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</si>
  <si>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</si>
  <si>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Техперевооружение комплекса инженерно-технических средств физической защиты КЦ №1. (СП ПТС)  H_505-ПГт-4</t>
  </si>
  <si>
    <t>25</t>
  </si>
  <si>
    <t>Замена бака аккумулятора  емк. 3 000 м3 ст.№2 КЦ-1 СП Приморские тепловые сети K_505-ПГт-138</t>
  </si>
  <si>
    <t>26</t>
  </si>
  <si>
    <t>Мероприятия, направленные на повышение экологической эффективности</t>
  </si>
  <si>
    <t>Замена масляных (воздушных) выключателей на вакуумные (элегазовые) напряжением 6 кВ и выше  КЦ № 1 (31 шт.), СП ПТС N_505-ПГт-147</t>
  </si>
  <si>
    <t>Ноябрь</t>
  </si>
  <si>
    <t>27</t>
  </si>
  <si>
    <t>Мероприятия, направленные на повышение энергоэффективности в сфере теплоснабжения</t>
  </si>
  <si>
    <t>Установка системы защиты от дуговых замыканий на КРУ 6 кВ Приморские тепловые сети, 4 шт. L_505-ПГт-148</t>
  </si>
  <si>
    <t>28</t>
  </si>
  <si>
    <t>Замена электро двигателей в кол-ве 3шт. на дымососах котлов БКЗ  на КЦ-1 (2023г.-1шт, 2024г.-1, 2025г.-1шт) СП Приморские тепловые сети N_505-ПГт-176</t>
  </si>
  <si>
    <t>Техперевооружение узла учета тепловой энергии, теплоносителя на котельной "КЦ № 2-1" (Северная)  (СП Приморскией тепловые сети) N_505-ПТС-15</t>
  </si>
  <si>
    <t>30</t>
  </si>
  <si>
    <t>Техперевооружение узла учета тепловой энергии КЦ №2-2 СП Приморские тепловые сети N_505-ПТС-19</t>
  </si>
  <si>
    <t>31</t>
  </si>
  <si>
    <t>Техперевооружение теплотрассы УТ0132 - УТ0132Б  ул.Кирова Дн 530 L=2х250м.п СП Приморские тепловые сети N_505-ПТС-16</t>
  </si>
  <si>
    <t>32</t>
  </si>
  <si>
    <t>Техперевооружение мазутохозяйства ТЦ Северная с заменой баков №1,2,3 емк. 5 000 м3  СП Приморские тепловые сети O_505-ПТС-22</t>
  </si>
  <si>
    <t>2029</t>
  </si>
  <si>
    <t>33</t>
  </si>
  <si>
    <t>Техперевооружение системы контроля параметров работы системы центрального теплоснабжения в г.Владивостоке СП Приморские тепловые сети P_505-ПТС-41</t>
  </si>
  <si>
    <t>34</t>
  </si>
  <si>
    <t>Расширение котельной "Северная" с установкой котла КВГМ-100. (СП ПТС)  F_505-ПГт-1тп</t>
  </si>
  <si>
    <t>2030</t>
  </si>
  <si>
    <t xml:space="preserve">  За счет платы за технологическое присоединение</t>
  </si>
  <si>
    <t>HEAT_IP_EVENT_SUBGROUP_1_LIST</t>
  </si>
  <si>
    <t>35</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</si>
  <si>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</si>
  <si>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увеличение пропускной способности существующих тепловых сетей в целях подключения потребителей</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</si>
  <si>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</si>
  <si>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36</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</si>
  <si>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</si>
  <si>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37</t>
  </si>
  <si>
    <t>строительство новых тепловых сетей в целях подключения потребителей</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</si>
  <si>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</si>
  <si>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38</t>
  </si>
  <si>
    <t>Прокладка тепловой сети до границ земельного участка "Коррекционная школа-интернат III-IV видов", ул Фрунзе 4, г. Артем. N_505-ПГт-191тп</t>
  </si>
  <si>
    <t>Март</t>
  </si>
  <si>
    <t>39</t>
  </si>
  <si>
    <t>Техперевооружение теплотрассы УТ2611-УТ 2608 по ул. Борисенко.48  до точки подключения N_505-ПТС-4тп</t>
  </si>
  <si>
    <t>40</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</si>
  <si>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</si>
  <si>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41</t>
  </si>
  <si>
    <t>Прокладка тепловой сети для подключения группы жилых домов в районе ул. Русская, 57 в г. Владивостоке  N_505-ПТС-15тп</t>
  </si>
  <si>
    <t>42</t>
  </si>
  <si>
    <t>Прокладка тепловых сетей  от УТ 4212  до объекта "Многофункциональный жилой комплекс, расположенный по адресу г. Владивосток, ул. Басаргина, д. 2, корпус 3" O_505-ПТС-23тп</t>
  </si>
  <si>
    <t>43</t>
  </si>
  <si>
    <t>Прокладка тепловой сети от УТ 4212 до границ земельного участка, ул. Катерная, д. 29, д. 31 O_505-ПТС-24тп</t>
  </si>
  <si>
    <t>44</t>
  </si>
  <si>
    <t>Техперевооружение от УТ-1216 до УТ-1219 и строительство тепловых сетей до точки подключения объекта: "Многоэтажная жилая застройка  в районе ул. Кизлярская, дом 3 , дом 18,  дом 20  в г. Владивосток" O_505-ПТС-25тп</t>
  </si>
  <si>
    <t>45</t>
  </si>
  <si>
    <t>Техперевооружение магистральной тепловой сети от УТ 0133А - до УТ 0139Б, ул. Енисейская, г.Владивосток O_505-ПТС-26тп</t>
  </si>
  <si>
    <t>46</t>
  </si>
  <si>
    <t>Прокладка тепловой сети для подключения объекта капитального строительства "Жилой комплекс на земельном участке по адресу:г. Владивосток в районе пр.100-лет Влад-ку д.103 O_505-ПТС-27тп</t>
  </si>
  <si>
    <t>Сентябрь</t>
  </si>
  <si>
    <t>Прокладка тепловой сети до границ земельного участка "Здание автомойки по ул. Пушкина,4 в г. Артеме O_505-ПТС-28тп</t>
  </si>
  <si>
    <t>48</t>
  </si>
  <si>
    <t>Техперевооружение теплотрассы УТ01098 до Т.Б  ул. Кирова, г. Артем ЖК "Солнечный"  O_505-ПТС-30тп</t>
  </si>
  <si>
    <t>49</t>
  </si>
  <si>
    <t>Техперевооружение магистральной тепловой сети №17 участок от т.В (УТ1722) до УТ1723 ул. К. Жигура для подключения объекта капитального строительства "Жилой комплекс в районе ул. Достоевского в г. Владивосток",  СП Приморские тепловые сети O_505-ПТС-33тп</t>
  </si>
  <si>
    <t>50</t>
  </si>
  <si>
    <t>Техперевооружение тепловой сети УТ-01097 в сторону УТ-01101 с 2Ду500 на 2Ду700 в районе ул.Кооперативная 4, г.Артем L=92п.м., СП Приморские тепловые сети P_505-ПТС-34тп</t>
  </si>
  <si>
    <t>51</t>
  </si>
  <si>
    <t>Техперевооружение магистральной  тепловой сети № 26 участок от  УТ2611 в сторону УТ2612 (т.А) по ул. Борисенко для подключения объекта капитального строительства "Жилой комплекс со встроенными нежилыми помещениями в районе ул.Новожилова, 21", СП Приморские тепловые сети  O_505-ПТС-35тп</t>
  </si>
  <si>
    <t>52</t>
  </si>
  <si>
    <t>Прокладка тепловой сети для подключения объекта капитального строительства "Нежилое помещение (склады) по адресу: г. Владивосток, ул. Нижнепортовая, 6а", СП Приморские тепловые сети  O_505-ПТС-36тп</t>
  </si>
  <si>
    <t>53</t>
  </si>
  <si>
    <t>Прокладка тепловой сети для подключения объекта капитального строительства "Нежилое помещение кафе-закусочная", расположенного по адресу: г. Владивосток, ул. Фадеева, 47К, СП Приморские тепловые сети  O_505-ПТС-37тп</t>
  </si>
  <si>
    <t>Июль</t>
  </si>
  <si>
    <t>54</t>
  </si>
  <si>
    <t>Техперевооружение магистральной тепловой сети №17 участок от УТ1714 в сторону УТ1715(тА) по ул.Стрелочная для подключения объекта капитального строительства "Многоквартирный жилой комплекс по адресу г.Владивосток ул.Крылова 10 Дн 1020 L=2х91,1м.п., СП Приморские тепловые сети P_505-ПТС-38тп</t>
  </si>
  <si>
    <t>55</t>
  </si>
  <si>
    <t>Техперевооружение магистральной тепловой сети №17  УТ1715 т.А. до УТ1716 т.Б. по ул Жигура для подключения объекта капитального строительства "«Гостиница 5*» расположенного по адресу: Приморский край, г. Владивосток, ул. Державина, 17 " Дн 1020 L=2х106,7м.п., СП Приморские тепловые сети P_505-ПТС-39тп</t>
  </si>
  <si>
    <t>56</t>
  </si>
  <si>
    <t>строительство иных объектов теплоснабжения за исключением тепловых сетей в целях подключения потребителей</t>
  </si>
  <si>
    <t>Реконструкция ЦТП по ул.Дзержинского, 5 в г.Артем с установкой дополнительного насосного оборудования в кол-ве 1шт, СП Приморские тепловые сети P_505-ПТС-42</t>
  </si>
  <si>
    <t>57</t>
  </si>
  <si>
    <t>Прокладка тепловой сети для подключения многоквартирного жилого дома по ул. Тимирязева, 2» в г. Артеме, 2Ду70 мм, L=168 м  СП Приморские тепловые сети P_505-ПТС-43тп</t>
  </si>
  <si>
    <t>58</t>
  </si>
  <si>
    <t>Прокладка тепловой сети для подключения складских помещений по л. Снеговая, 34а в г. Владивостоке, 2Ду100 мм, L=166 м.
 СП Приморские тепловые сети P_505-ПТС-44тп</t>
  </si>
  <si>
    <t>59</t>
  </si>
  <si>
    <t>Покупка оборудования , не входящего в сметы строек, СП ПТС</t>
  </si>
  <si>
    <t>Покупка объектов интеллектуальной собственности (нма), СП ПТС</t>
  </si>
  <si>
    <t>61</t>
  </si>
  <si>
    <t>Строительство площадок накопления отходов 6шт СП Приморские тепловые сети O_505-ПТС-31</t>
  </si>
  <si>
    <t>62</t>
  </si>
  <si>
    <t>Строительство тепловых сетей от УТ-4212 до объектов по ул. Борисенко, 100 К (ООО "СЗ "Соболь" I этап. объект "Жилой комплекс со встроенными нежилыми помещениями, подземным паркингом в стилобатной части и отдельностоящим паркингом, расположенный по адресу: г. Владивосток, ул. Борисенко, 100К") O_505-ПТС-32тп</t>
  </si>
  <si>
    <t>63</t>
  </si>
  <si>
    <t>Строительство тепловой сети для подключения объекта "Апарт-отель со встроенной автостоянкой во Фрунзенском районе г. Владивостока" L_505-ПГт-155тп</t>
  </si>
  <si>
    <t>64</t>
  </si>
  <si>
    <t>Строительство тепловой сети для подключения объекта "Жилой комплекс в районе Катерная в г. Владивостоке N_505-ПГт-166тп</t>
  </si>
  <si>
    <t>65</t>
  </si>
  <si>
    <t>Разработка системы обнаружения утечек в трубах тепловых сетей, СП Приморские тепловые сети O_505-ПТС-16на</t>
  </si>
  <si>
    <t>66</t>
  </si>
  <si>
    <t>Техперевооружение громкоговорящей связи Восточной ТЭЦ N_505-ПГг-160</t>
  </si>
  <si>
    <t>Апрель</t>
  </si>
  <si>
    <t>67</t>
  </si>
  <si>
    <t>Техперевооружение системы управления информационной безопасности, СП ТЭЦ Восточная N_505-ТЭЦВост-2</t>
  </si>
  <si>
    <t>68</t>
  </si>
  <si>
    <t>Техническое перевооружение технологических трубопроводов, устройств и сооружений СП ТЭЦ Восточная O_505-ТЭЦВост-6</t>
  </si>
  <si>
    <t>69</t>
  </si>
  <si>
    <t>Установка системы мониторинга аккумуляторных батарей 1 шт. СП ТЭЦ Восточная P_505-ТЭЦВост-7</t>
  </si>
  <si>
    <t>70</t>
  </si>
  <si>
    <t>Устройство площадки для хранения металлолома на территории Восточной ТЭЦ" O_505-ТЭЦВост-5</t>
  </si>
  <si>
    <t>71</t>
  </si>
  <si>
    <t>Покупка оборудования , не входящего в сметы строек, СП ТЭЦ Восточная</t>
  </si>
  <si>
    <t>72</t>
  </si>
  <si>
    <t>Разработка ПИР для реализации проекта "Оснащение резервным источником снабжения электроэнергией (РИСЭ)энергообъекта ТЭЦ Восточная  для пуска станции в условиях отключения питания собственных нужд СП "ТЭЦ Восточная" P_505-ТЭЦВост-9</t>
  </si>
  <si>
    <t>73</t>
  </si>
  <si>
    <t>Покупка объектов интеллектуальной собственности (нма),  СП ТЭЦ Восточная</t>
  </si>
  <si>
    <t>74</t>
  </si>
  <si>
    <t>Покупка оборудования , не входящего в сметы строек, СП Владивостокская ТЭЦ-2</t>
  </si>
  <si>
    <t>75</t>
  </si>
  <si>
    <t>Покупка объектов интеллектуальной собственности (нма),  СП Владивостокская ТЭЦ-2</t>
  </si>
  <si>
    <t>76</t>
  </si>
  <si>
    <t>Модернизация схемы ТПУ-2н с установкой сетевого насоса № 4 СП Партизанской ГРЭС I_505-ПГг-82</t>
  </si>
  <si>
    <t>Партизанская ГРЭС</t>
  </si>
  <si>
    <t>г Партизанск</t>
  </si>
  <si>
    <t>05717000001</t>
  </si>
  <si>
    <t>ул.Свердлова</t>
  </si>
  <si>
    <t>77</t>
  </si>
  <si>
    <t>Модернизация АСУ и ТП турбинного и котельного оборудования Партизанской ГРЭС I_505-ПГг-78</t>
  </si>
  <si>
    <t>78</t>
  </si>
  <si>
    <t>Техперевооружение комплекса инженерно-технических средств физической защиты СП «Партизанская ГРЭС» (ограждение,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H_505-ПГг-17</t>
  </si>
  <si>
    <t>79</t>
  </si>
  <si>
    <t>Установка локальной системы оповещения на гидротехнических сооружениях, СП Партизанская ГРЭС K_505-ПГг-122</t>
  </si>
  <si>
    <t>80</t>
  </si>
  <si>
    <t>Техперевооружение 1 и 2 секции брызгального бассейна, СП Партизанская ГРЭС K_505-ПГг-124</t>
  </si>
  <si>
    <t>81</t>
  </si>
  <si>
    <t>Модернизация системы температурного контроля за состояниями подшипников паровых турбин ТГ №1,2  на Партизанской ГРЭС. N_505-ПГг-149</t>
  </si>
  <si>
    <t xml:space="preserve">      Прочие займы</t>
  </si>
  <si>
    <t>82</t>
  </si>
  <si>
    <t>Модернизация подогревателя высокого давления ПВ 250-180-01 ПВД-8 ТА-2, ПВД-8 ТА-1, СП Партизанская ГРЭС O_505-ПГРЭС-156</t>
  </si>
  <si>
    <t>83</t>
  </si>
  <si>
    <t>Установка системы пожаротушения трансформаторов ст. № Т-1, Т-2, АТ-1,2 СП Партизанская ГРЭС K_505-ПГг-128</t>
  </si>
  <si>
    <t>84</t>
  </si>
  <si>
    <t>Покупка оборудования , не входящего в сметы строек, СП Партизанская ГРЭС</t>
  </si>
  <si>
    <t>85</t>
  </si>
  <si>
    <t>Разработка ПИР для проекта "Реконструкция существующего золошлакоотвала "Зеленая балка" от отметки 160 метров до отметки 200 метров и оборотной системы транспорта золошлаковых отходов в системе гидро-золоудаления СП Партизанская ГРЭС"  P_505-ПГРЭС-162</t>
  </si>
  <si>
    <t>86</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</si>
  <si>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</si>
  <si>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золошлакоотвала Партизанской ГРЭС "Зеленая балка" с применением геосинтетических материалов - геомембран и геотекстиля (емкость 3 142 тыс. м3) F_505-ПГг-36</t>
  </si>
  <si>
    <t>87</t>
  </si>
  <si>
    <t>Разработка и внедрение отечественных устройств воспламенения и стабилизации факельного горения угольной пыли без использования дополнительного жидкого топлива для СП «Партизанская ГРЭС» P_505-ПГРЭС-156на</t>
  </si>
  <si>
    <t>88</t>
  </si>
  <si>
    <t>Разработка и внедрение технических решений по созданию высокоэффективной установки очистки воды для нужд подпитки барабанных котлов давлением 100 кгс/см2 СП Партизанская ГРЭС (производительность установки - 60 т/ч) L_505-ПГг-138на</t>
  </si>
  <si>
    <t>89</t>
  </si>
  <si>
    <t>Покупка объектов интеллектуальной собственности (нма),  СП Партизанская ГРЭС</t>
  </si>
  <si>
    <t>90</t>
  </si>
  <si>
    <t>Модернизация АСУ и ТП турбинного и котельного оборудования Артемовской ТЭЦ I_505-ПГг-80</t>
  </si>
  <si>
    <t>91</t>
  </si>
  <si>
    <t>Реконструкция градирни №3 СП Артёмовская ТЭЦ N_505АрТЭЦ-1</t>
  </si>
  <si>
    <t>92</t>
  </si>
  <si>
    <t>Замена ПЭНов в сборе с электродвигателем 7шт. (2023г - № 8, 15, 10,12, 2024г. - №7,13,14) СП Артёмовская ТЭЦ  N_505АрТЭЦ-3</t>
  </si>
  <si>
    <t>93</t>
  </si>
  <si>
    <t>Техперевооружение комплекса инженерно-технических средств физической защиты СП «Артемовская ТЭЦ»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 система электропитания, система оперативной связи) H_505-ПГг-18</t>
  </si>
  <si>
    <t>94</t>
  </si>
  <si>
    <t>Техперевооружение схемы химводоочистки Артемовской ТЭЦ K_505-ПГг-131</t>
  </si>
  <si>
    <t>95</t>
  </si>
  <si>
    <t>Техническое перевооружение котлоагрегатов Артёмовской ТЭЦ замена ВПК на ВПКО(2024-9,13; 2025-6,7,8,10,11,12) O_505-АрТЭЦ-5</t>
  </si>
  <si>
    <t>96</t>
  </si>
  <si>
    <t>Установка автоматизированной системы мониторинга аккумуляторных батарей,4 шт. СП Артемовская ТЭЦ P_505-АрТЭЦ-10</t>
  </si>
  <si>
    <t>97</t>
  </si>
  <si>
    <t>Покупка оборудования , не входящего в сметы строек, СП Артемовская ТЭЦ</t>
  </si>
  <si>
    <t>98</t>
  </si>
  <si>
    <t>Строительство рыбопропускного сооружения на плотине р. Артемовка, СП Артемовская ТЭЦ N_505-ПГг-159</t>
  </si>
  <si>
    <t>99</t>
  </si>
  <si>
    <t>Покупка объектов интеллектуальной собственности (нма),  СП Артемовская ТЭЦ</t>
  </si>
  <si>
    <t>100</t>
  </si>
  <si>
    <t xml:space="preserve">Модернизация силового узла ОРУ-110 кВ, по техническому состоянию, с заменой масляного выключателя МВ-110 кВ ВЛ-110 "Находка/т" на элегазовый (вакуумный) выключатель 110 кВ в СП Партизанская ГРЭС N_505-ПГг-151
</t>
  </si>
  <si>
    <t>101</t>
  </si>
  <si>
    <t xml:space="preserve">Замена грузопассажирского лифта в главном корпусе, г/п 1тн СП Партизанская ГРЭС K_505-ПГг-123
</t>
  </si>
  <si>
    <t>102</t>
  </si>
  <si>
    <t xml:space="preserve">Строительство тепловой сети для подключения объекта "Многоквартирные дома со встроенными помещениями нежилого назначения по ул.Басаргина в г.Владивостоке"" N_505-ПГт-167тп
</t>
  </si>
  <si>
    <t>103</t>
  </si>
  <si>
    <t xml:space="preserve">Прокладка внутриплощадочных тепловых сетей для подключения объекта: «Жилой комплекс в районе ул. Катерной в г. Владивостоке» O_505-ПТС-199тп
</t>
  </si>
  <si>
    <t>104</t>
  </si>
  <si>
    <t xml:space="preserve">Техперевооружение тепловой сети № 30 для подключения объекта: "Обустройство военного городка № 31 в г. Владивосток протяженностью 851,7 м." Q_505-ПТС-46тп
</t>
  </si>
  <si>
    <t>105</t>
  </si>
  <si>
    <t xml:space="preserve">Реконструкция ЦТП по ул.Дзержинского, 5 в г.Артем с установкой дополнительного насосного оборудования в кол-ве 1шт, СП Приморские тепловые сети P_505-ПТС-42тп
</t>
  </si>
  <si>
    <t>Добавить мероприятие</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</si>
  <si>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</si>
  <si>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</si>
  <si>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</si>
  <si>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</si>
  <si>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</si>
  <si>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</si>
  <si>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</si>
  <si>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</si>
  <si>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</si>
  <si>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</si>
  <si>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</si>
  <si>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</si>
  <si>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</si>
  <si>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</si>
  <si>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</si>
  <si>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</si>
  <si>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</si>
  <si>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</si>
  <si>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</si>
  <si>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</si>
  <si>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</si>
  <si>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</si>
  <si>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</si>
  <si>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</si>
  <si>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</si>
  <si>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</si>
  <si>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</si>
  <si>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</si>
  <si>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</si>
  <si>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</si>
  <si>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</si>
  <si>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</si>
  <si>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</si>
  <si>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</si>
  <si>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</si>
  <si>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</si>
  <si>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</si>
  <si>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</si>
  <si>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</si>
  <si>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</si>
  <si>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</si>
  <si>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</si>
  <si>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</si>
  <si>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</si>
  <si>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</si>
  <si>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</si>
  <si>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</si>
  <si>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</si>
  <si>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</si>
  <si>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</si>
  <si>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</si>
  <si>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</si>
  <si>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</si>
  <si>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</si>
  <si>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</si>
  <si>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</si>
  <si>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</si>
  <si>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</si>
  <si>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</si>
  <si>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</si>
  <si>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</si>
  <si>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</si>
  <si>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</si>
  <si>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</si>
  <si>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</si>
  <si>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</si>
  <si>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</si>
  <si>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</si>
  <si>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</si>
  <si>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</si>
  <si>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</si>
  <si>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</si>
  <si>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</si>
  <si>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</si>
  <si>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</si>
  <si>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</si>
  <si>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</si>
  <si>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</si>
  <si>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</si>
  <si>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</si>
  <si>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</si>
  <si>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</si>
  <si>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</si>
  <si>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</si>
  <si>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</si>
  <si>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</si>
  <si>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</si>
  <si>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</si>
  <si>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</si>
  <si>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</si>
  <si>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</si>
  <si>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</si>
  <si>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</si>
  <si>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</si>
  <si>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</si>
  <si>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</si>
  <si>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</si>
  <si>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</si>
  <si>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</si>
  <si>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</si>
  <si>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</si>
  <si>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</si>
  <si>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</si>
  <si>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</si>
  <si>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</si>
  <si>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</si>
  <si>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</si>
  <si>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</si>
  <si>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</si>
  <si>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</si>
  <si>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</si>
  <si>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</si>
  <si>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</si>
  <si>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</si>
  <si>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</si>
  <si>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</si>
  <si>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</si>
  <si>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</si>
  <si>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</si>
  <si>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</si>
  <si>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</si>
  <si>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</si>
  <si>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</si>
  <si>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</si>
  <si>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</si>
  <si>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</si>
  <si>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</si>
  <si>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</si>
  <si>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</si>
  <si>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</si>
  <si>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</si>
  <si>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</si>
  <si>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</si>
  <si>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</si>
  <si>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</si>
  <si>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</si>
  <si>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</si>
  <si>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</si>
  <si>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</si>
  <si>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</si>
  <si>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</si>
  <si>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</si>
  <si>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</si>
  <si>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</si>
  <si>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</si>
  <si>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</si>
  <si>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</si>
  <si>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</si>
  <si>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</si>
  <si>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</si>
  <si>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</si>
  <si>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</si>
  <si>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</si>
  <si>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</si>
  <si>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</si>
  <si>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</si>
  <si>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</si>
  <si>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</si>
  <si>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</si>
  <si>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</si>
  <si>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</si>
  <si>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</si>
  <si>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</si>
  <si>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</si>
  <si>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</si>
  <si>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</si>
  <si>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</si>
  <si>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</si>
  <si>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</si>
  <si>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</si>
  <si>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</si>
  <si>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</si>
  <si>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</si>
  <si>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</si>
  <si>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</si>
  <si>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</si>
  <si>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</si>
  <si>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</si>
  <si>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</si>
  <si>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</si>
  <si>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</si>
  <si>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</si>
  <si>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</si>
  <si>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</si>
  <si>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</si>
  <si>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</si>
  <si>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</si>
  <si>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</si>
  <si>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</si>
  <si>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</si>
  <si>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</si>
  <si>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</si>
  <si>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</si>
  <si>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</si>
  <si>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</si>
  <si>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</si>
  <si>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</si>
  <si>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</si>
  <si>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</si>
  <si>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</si>
  <si>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</si>
  <si>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</si>
  <si>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</si>
  <si>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</si>
  <si>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</si>
  <si>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</si>
  <si>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</si>
  <si>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</si>
  <si>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</si>
  <si>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</si>
  <si>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</si>
  <si>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</si>
  <si>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</si>
  <si>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</si>
  <si>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</si>
  <si>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</si>
  <si>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</si>
  <si>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</si>
  <si>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</si>
  <si>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</si>
  <si>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</si>
  <si>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</si>
  <si>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</si>
  <si>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</si>
  <si>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</si>
  <si>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</si>
  <si>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</si>
  <si>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</si>
  <si>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</si>
  <si>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</si>
  <si>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</si>
  <si>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</si>
  <si>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</si>
  <si>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</si>
  <si>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</si>
  <si>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</si>
  <si>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</si>
  <si>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</si>
  <si>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</si>
  <si>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</si>
  <si>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</si>
  <si>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</si>
  <si>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</si>
  <si>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</si>
  <si>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</si>
  <si>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</si>
  <si>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</si>
  <si>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</si>
  <si>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</si>
  <si>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</si>
  <si>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</si>
  <si>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</si>
  <si>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</si>
  <si>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</si>
  <si>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</si>
  <si>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</si>
  <si>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</si>
  <si>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</si>
  <si>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</si>
  <si>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</si>
  <si>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</si>
  <si>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</si>
  <si>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</si>
  <si>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</si>
  <si>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</si>
  <si>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</si>
  <si>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</si>
  <si>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</si>
  <si>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</si>
  <si>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</si>
  <si>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</si>
  <si>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</si>
  <si>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</si>
  <si>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</si>
  <si>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</si>
  <si>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</si>
  <si>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</si>
  <si>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</si>
  <si>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</si>
  <si>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</si>
  <si>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</si>
  <si>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</si>
  <si>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</si>
  <si>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</si>
  <si>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</si>
  <si>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</si>
  <si>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</si>
  <si>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</si>
  <si>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</si>
  <si>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isPrint</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</si>
  <si>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</si>
  <si>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</si>
  <si>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</si>
  <si>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</si>
  <si>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</si>
  <si>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</si>
  <si>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</si>
  <si>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</si>
  <si>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</si>
  <si>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</si>
  <si>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</si>
  <si>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</si>
  <si>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</si>
  <si>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</si>
  <si>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</si>
  <si>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</si>
  <si>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</si>
  <si>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</si>
  <si>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</si>
  <si>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</si>
  <si>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</si>
  <si>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</si>
  <si>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</si>
  <si>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</si>
  <si>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</si>
  <si>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</si>
  <si>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</si>
  <si>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</si>
  <si>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</si>
  <si>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</si>
  <si>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</si>
  <si>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</si>
  <si>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</si>
  <si>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</si>
  <si>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</si>
  <si>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</si>
  <si>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</si>
  <si>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</si>
  <si>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</si>
  <si>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</si>
  <si>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</si>
  <si>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</si>
  <si>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</si>
  <si>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</si>
  <si>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</si>
  <si>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</si>
  <si>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</si>
  <si>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</si>
  <si>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</si>
  <si>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</si>
  <si>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</si>
  <si>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</si>
  <si>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</si>
  <si>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</si>
  <si>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</si>
  <si>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</si>
  <si>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</si>
  <si>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</si>
  <si>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</si>
  <si>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</si>
  <si>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</si>
  <si>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</si>
  <si>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</si>
  <si>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</si>
  <si>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</si>
  <si>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</si>
  <si>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</si>
  <si>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</si>
  <si>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</si>
  <si>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</si>
  <si>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</si>
  <si>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</si>
  <si>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</si>
  <si>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</si>
  <si>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Типы тарифов /kind_of_type_price/</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</si>
  <si>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</si>
  <si>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</si>
  <si>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</si>
  <si>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</si>
  <si>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</si>
  <si>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</si>
  <si>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</si>
  <si>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Июнь</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</si>
  <si>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</si>
  <si>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</si>
  <si>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</si>
  <si>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</si>
  <si>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только по регулируемым ценам</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</si>
  <si>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</si>
  <si>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</si>
  <si>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</si>
  <si>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</si>
  <si>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</si>
  <si>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</si>
  <si>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</si>
  <si>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</si>
  <si>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</si>
  <si>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</si>
  <si>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</si>
  <si>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</si>
  <si>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</si>
  <si>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только по нерегулируемым ценам</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</si>
  <si>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</si>
  <si>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</si>
  <si>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</si>
  <si>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</si>
  <si>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</si>
  <si>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</si>
  <si>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</si>
  <si>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</si>
  <si>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Август</t>
  </si>
  <si>
    <t xml:space="preserve">  [ Экономия расходов ]</t>
  </si>
  <si>
    <t>г.Байконур</t>
  </si>
  <si>
    <t>ноябрь</t>
  </si>
  <si>
    <t>по регулируемым и нерегулируемым ценам</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</si>
  <si>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</si>
  <si>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</si>
  <si>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</si>
  <si>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</si>
  <si>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</si>
  <si>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</si>
  <si>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</si>
  <si>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</si>
  <si>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</si>
  <si>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</si>
  <si>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</si>
  <si>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</si>
  <si>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</si>
  <si>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</si>
  <si>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</si>
  <si>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</si>
  <si>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</si>
  <si>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</si>
  <si>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</si>
  <si>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</si>
  <si>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</si>
  <si>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</si>
  <si>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</si>
  <si>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</si>
  <si>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</si>
  <si>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</si>
  <si>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</si>
  <si>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</si>
  <si>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</si>
  <si>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</si>
  <si>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</si>
  <si>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</si>
  <si>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</si>
  <si>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</si>
  <si>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</si>
  <si>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</si>
  <si>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</si>
  <si>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</si>
  <si>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</si>
  <si>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</si>
  <si>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</si>
  <si>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</si>
  <si>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</si>
  <si>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</si>
  <si>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</si>
  <si>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</si>
  <si>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</si>
  <si>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</si>
  <si>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</si>
  <si>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</si>
  <si>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</si>
  <si>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</si>
  <si>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</si>
  <si>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</si>
  <si>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</si>
  <si>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</si>
  <si>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</si>
  <si>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</si>
  <si>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</si>
  <si>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</si>
  <si>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</si>
  <si>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</si>
  <si>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</si>
  <si>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</si>
  <si>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</si>
  <si>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</si>
  <si>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</si>
  <si>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</si>
  <si>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</si>
  <si>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</si>
  <si>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</si>
  <si>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</si>
  <si>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</si>
  <si>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</si>
  <si>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</si>
  <si>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</si>
  <si>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</si>
  <si>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</si>
  <si>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</si>
  <si>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</si>
  <si>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</si>
  <si>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</si>
  <si>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</si>
  <si>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</si>
  <si>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</si>
  <si>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</si>
  <si>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</si>
  <si>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</si>
  <si>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</si>
  <si>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</si>
  <si>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</si>
  <si>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</si>
  <si>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</si>
  <si>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</si>
  <si>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</si>
  <si>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</si>
  <si>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</si>
  <si>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</si>
  <si>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</si>
  <si>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</si>
  <si>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</si>
  <si>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</si>
  <si>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</si>
  <si>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</si>
  <si>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</si>
  <si>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</si>
  <si>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</si>
  <si>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</si>
  <si>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</si>
  <si>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</si>
  <si>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</si>
  <si>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</si>
  <si>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</si>
  <si>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</si>
  <si>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</si>
  <si>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</si>
  <si>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</si>
  <si>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</si>
  <si>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</si>
  <si>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</si>
  <si>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</si>
  <si>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</si>
  <si>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</si>
  <si>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</si>
  <si>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</si>
  <si>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</si>
  <si>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</si>
  <si>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</si>
  <si>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</si>
  <si>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</si>
  <si>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</si>
  <si>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</si>
  <si>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</si>
  <si>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</si>
  <si>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</si>
  <si>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</si>
  <si>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</si>
  <si>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</si>
  <si>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</si>
  <si>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</si>
  <si>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</si>
  <si>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</si>
  <si>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</si>
  <si>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</si>
  <si>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</si>
  <si>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</si>
  <si>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</si>
  <si>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</si>
  <si>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</si>
  <si>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</si>
  <si>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</si>
  <si>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</si>
  <si>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</si>
  <si>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</si>
  <si>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</si>
  <si>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</si>
  <si>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</si>
  <si>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</si>
  <si>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</si>
  <si>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</si>
  <si>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</si>
  <si>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</si>
  <si>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</si>
  <si>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</si>
  <si>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</si>
  <si>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</si>
  <si>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</si>
  <si>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</si>
  <si>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</si>
  <si>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</si>
  <si>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</si>
  <si>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</si>
  <si>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</si>
  <si>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</si>
  <si>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</si>
  <si>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</si>
  <si>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</si>
  <si>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</si>
  <si>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</si>
  <si>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</si>
  <si>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</si>
  <si>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</si>
  <si>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</si>
  <si>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</si>
  <si>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</si>
  <si>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</si>
  <si>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</si>
  <si>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</si>
  <si>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</si>
  <si>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</si>
  <si>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</si>
  <si>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</si>
  <si>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</si>
  <si>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</si>
  <si>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</si>
  <si>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</si>
  <si>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</si>
  <si>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</si>
  <si>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</si>
  <si>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</si>
  <si>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</si>
  <si>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</si>
  <si>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</si>
  <si>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</si>
  <si>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</si>
  <si>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</si>
  <si>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</si>
  <si>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</si>
  <si>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</si>
  <si>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</si>
  <si>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</si>
  <si>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</si>
  <si>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</si>
  <si>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</si>
  <si>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</si>
  <si>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511</t>
  </si>
  <si>
    <t>начинать только с 2, остальное по умолчанию</t>
  </si>
  <si>
    <t>Республика Калмыкия</t>
  </si>
  <si>
    <t>DIFFERENTIATION_ID</t>
  </si>
  <si>
    <t>5111</t>
  </si>
  <si>
    <t>Республика Карелия</t>
  </si>
  <si>
    <t>IP_ID</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</si>
  <si>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</si>
  <si>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</si>
  <si>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</si>
  <si>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</si>
  <si>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</si>
  <si>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</si>
  <si>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</si>
  <si>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</si>
  <si>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</si>
  <si>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</si>
  <si>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</si>
  <si>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</si>
  <si>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</si>
  <si>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</si>
  <si>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</si>
  <si>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</si>
  <si>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</si>
  <si>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</si>
  <si>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</si>
  <si>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</si>
  <si>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</si>
  <si>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</si>
  <si>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</si>
  <si>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</si>
  <si>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</si>
  <si>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</si>
  <si>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</si>
  <si>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</si>
  <si>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</si>
  <si>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</si>
  <si>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</si>
  <si>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</si>
  <si>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</si>
  <si>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</si>
  <si>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</si>
  <si>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</si>
  <si>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</si>
  <si>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</si>
  <si>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</si>
  <si>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</si>
  <si>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</si>
  <si>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</si>
  <si>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</si>
  <si>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</si>
  <si>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</si>
  <si>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</si>
  <si>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</si>
  <si>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</si>
  <si>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</si>
  <si>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</si>
  <si>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</si>
  <si>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</si>
  <si>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</si>
  <si>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</si>
  <si>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</si>
  <si>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</si>
  <si>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</si>
  <si>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</si>
  <si>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</si>
  <si>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</si>
  <si>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</si>
  <si>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</si>
  <si>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</si>
  <si>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</si>
  <si>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</si>
  <si>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</si>
  <si>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</si>
  <si>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</si>
  <si>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</si>
  <si>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</si>
  <si>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</si>
  <si>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</si>
  <si>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</si>
  <si>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</si>
  <si>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</si>
  <si>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</si>
  <si>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</si>
  <si>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</si>
  <si>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</si>
  <si>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</si>
  <si>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</si>
  <si>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</si>
  <si>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</si>
  <si>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</si>
  <si>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</si>
  <si>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</si>
  <si>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</si>
  <si>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</si>
  <si>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</si>
  <si>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</si>
  <si>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</si>
  <si>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</si>
  <si>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</si>
  <si>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</si>
  <si>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</si>
  <si>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</si>
  <si>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</si>
  <si>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</si>
  <si>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</si>
  <si>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</si>
  <si>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</si>
  <si>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</si>
  <si>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</si>
  <si>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</si>
  <si>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</si>
  <si>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</si>
  <si>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</si>
  <si>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</si>
  <si>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</si>
  <si>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</si>
  <si>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</si>
  <si>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</si>
  <si>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</si>
  <si>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</si>
  <si>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</si>
  <si>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</si>
  <si>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</si>
  <si>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</si>
  <si>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</si>
  <si>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</si>
  <si>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</si>
  <si>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</si>
  <si>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</si>
  <si>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</si>
  <si>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</si>
  <si>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</si>
  <si>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</si>
  <si>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</si>
  <si>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</si>
  <si>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</si>
  <si>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</si>
  <si>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</si>
  <si>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</si>
  <si>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</si>
  <si>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</si>
  <si>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</si>
  <si>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</si>
  <si>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</si>
  <si>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</si>
  <si>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</si>
  <si>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</si>
  <si>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</si>
  <si>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</si>
  <si>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</si>
  <si>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</si>
  <si>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</si>
  <si>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</si>
  <si>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</si>
  <si>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</si>
  <si>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</si>
  <si>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</si>
  <si>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</si>
  <si>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</si>
  <si>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</si>
  <si>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</si>
  <si>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</si>
  <si>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</si>
  <si>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</si>
  <si>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</si>
  <si>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</si>
  <si>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</si>
  <si>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</si>
  <si>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</si>
  <si>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</si>
  <si>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</si>
  <si>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</si>
  <si>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</si>
  <si>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</si>
  <si>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</si>
  <si>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</si>
  <si>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</si>
  <si>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</si>
  <si>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</si>
  <si>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</si>
  <si>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</si>
  <si>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</si>
  <si>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</si>
  <si>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</si>
  <si>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</si>
  <si>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</si>
  <si>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</si>
  <si>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</si>
  <si>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</si>
  <si>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</si>
  <si>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</si>
  <si>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</si>
  <si>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</si>
  <si>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</si>
  <si>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</si>
  <si>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Лист ИП. Детализация. Источник финансирования "прочие"- экономия по торгам по проектам:
- Техперевооружение тепломагистрали УТ 0320/1-УТ0324,  пр. Острякова, Дн 426мм L=2х291 п.м  Приморские тепловые сети N_505-ПТС-5-5;
- 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
- Установка системы защиты от дуговых замыканий на КРУ 6 кВ Приморские тепловые сети, 4 шт. L_505-ПГт-148
- Замена электро двигателей в кол-ве 3шт. на дымососах котлов БКЗ  на КЦ-1 (2023г.-1шт, 2024г.-1, 2025г.-1шт) СП Приморские тепловые сети N_505-ПГт-176.</t>
  </si>
  <si>
    <t>Источник финансирования "прочие" - повышающий коэффициент по проектам:
-  Техперевооружение теплотрассы УТ 2604тА - УТ 2605 ул. Борисенко, Дн 1020х10 L=142х2п.м. СП  Приморские тепловые сети O_505-ПТС-5-12
- Техперевооружение теплотрассы УТ1306-УТ1307 ул.Вязовая, L=260п.м., Ду530/630мм., ПТС O_505-ПТС-5-17
- Техперевооружение системы контроля параметров работы системы центрального теплоснабжения в г.Владивостоке СП Приморские тепловые сети P_505-ПТС-41
Источник финансирования "прочие" по проекту: "Покупка оборудования , не входящего в сметы строек, СП ПТС"
- средства от реализации активов (металлолом)"</t>
  </si>
  <si>
    <t>Источник финансирования "прочие" - выручка по себестоимости по проектам:
 -Покупка объектов интеллектуальной собственности (нма), СП ПТС
- Покупка объектов интеллектуальной собственности (нма), СП ТЭЦ Восточная
- Покупка объектов интеллектуальной собственности (нма),  СП Партизанская ГРЭС
- Покупка объектов интеллектуальной собственности (нма),  СП Артемовская ТЭЦ
Источник финансирования "прочие" по проекту СП Владивостокская ТЭЦ-2 - компенсация по договору эксплуатации ВТЭЦ-2"</t>
  </si>
  <si>
    <t xml:space="preserve">Источник финансирования "прочие собственные средства" по проекту: "Замена масляных (воздушных) выключателей на вакуумные (элегазовые) напряжением 6 кВ и выше  КЦ № 1 (31 шт.), СП ПТС N_505-ПГт-147"-
прочая текущая амортизация (от технической воды)
</t>
  </si>
  <si>
    <t>Источник финансирования "прочие собственные средства" по проектам СП ПСТ:
- N_505-ПГт-187тп; N_505-ПГт-189тп; N_505-ПГт-168тп; N_505-ПГт-191тп; N_505-ПТС-4тп; N_505-ПТС-7тп; O_505-ПТС-24тп; O_505-ПТС-25тп; O_505-ПТС-26тп; O_505-ПТС-27тп; O_505-ПТС-28тп; O_505-ПТС-30тп; O_505-ПТС-33тп; P_505-ПТС-34тп; O_505-ПТС-35тп; O_505-ПТС-36тп; O_505-ПТС-37тп; P_505-ПТС-38тп; P_505-ПТС-39тп; P_505-ПТС-42; O_505-ПТС-32тп; N_505-ПГт-166тп; P_505-ПТС-39тп; N_505-ПГт-167тп; O_505-ПТС-199тп; P_505-ПТС-42тп -
предпринимательская прибыль, утвержденная в тарифе"</t>
  </si>
  <si>
    <t>По остальным проектам структурных подразделений в комбинированной выработке (СП Артемовская ТЭЦ,  СП Партизанская ГРЭС, СП ТЭЦ Восточная) источником финансирования "прочие собственные средства" является амортизация от производства и поставки электрической энергии на оптовом рынке электрической энергии и мощности и прочая текущая амортизация</t>
  </si>
  <si>
    <t>Из отчета исключен план финансирования на 2025 год по проекту "Техническое перевооружение оборудования 1-ой очереди Партизанской ГРЭС с его переводом на работу с использованием дизельного топлива (к/а ст.№1 – ст.№5) и переносом ресиверов углекислоты №1 и №2,СП Партизанская ГРЭС N_505-ПГРЭС-153" в размере -7607,49597 тыс. рублей за счет средств займа РусГидро , так как шаблоном не предусмотрено внесение отрицательных значений</t>
  </si>
  <si>
    <t>Источник финансирования "прочие" - возвратный НДС по проектам:
- Модернизация системы температурного контроля за состояниями подшипников паровых турбин ТГ №1,2  на Партизанской ГРЭС. N_505-ПГг-149
- Замена ПЭНов в сборе с электродвигателем 7шт. (2023г - № 8, 15, 10,12, 2024г. - №7,13,14) СП Артёмовская ТЭЦ  N_505АрТЭЦ-3</t>
  </si>
  <si>
    <t>Источник финансирования "прочие" по проекту: "Модернизация силового узла ОРУ-110 кВ, по техническому состоянию, с заменой масляного выключателя МВ-110 кВ ВЛ-110 "Находка/т" на элегазовый (вакуумный) выключатель 110 кВ в СП Партизанская ГРЭС N_505-ПГг-151"- средства от компенсации расходов</t>
  </si>
  <si>
    <t>В отчет не включено фактическое финансирование по проектам:
- Замена насосов рециркуляции сетевой воды пиковой водогрейной котельной Восточная ТЭЦ, 9 шт N_505-ПГг-161 в сумме  -2 615,80593 тыс. рублей за счет средств амортизации от производства и поставки электрической энергии на оптовом рынке электрической энергии и мощности
- Наращивание дамб  золоотвала №1 Артемовской ТЭЦ  на 1778 тыс. м3 F_505-ПГг-24 в сумме -376,89176 тыс. рублей за счет средств амортизации от производства и поставки электрической энергии на оптовом рынке электрической энергии и мощности
-Техническое перевооружение оборудования 1-й очереди Партизанской ГРЭС с его переводом на работу с использованием дизельного топлива (к/а ст.№1 – ст.№5) и переносом ресиверов углекислоты №1 и №2,СП Партизанская ГРЭС N_505-ПГРЭС-153 в сумме -7 607,49598 тыс. рублей за счет средств займа РусГидро</t>
  </si>
  <si>
    <t>-Техперевооружение теплотрассы УТ 0707 - УТ 0707/2 ул.Хабаровская,  Дн 325 L=190м.п.   Приморские тепловые сети  K_505-ПГт-5-90 на сумму - 11,635 тыс. рублей за счет средств амортизации
- Техперевооружение теплотрассы УТ2407 (т.Б) до УТ2408 (УП-1) ул. Набережная Д. 820*9. L= 2*309.0 п.м. СП Приморские тепловые сети N_505-ПГт-5-138 на сумму - 6 174,2571 тыс. рублей за счет средств амортизации
, так как шаблоном не предусмотрено внесение отрицательных значения</t>
  </si>
  <si>
    <t>Из отчета исключен проект Выкуп тепловых сетей в г.Артем общей  протяженностью 250 пм; СП  ПТС Q_505-ПТС-47в на сумму 817,74 тыс. рублей за счет средств олт реализации активов</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</si>
  <si>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</si>
  <si>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</si>
  <si>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</si>
  <si>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</si>
  <si>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</si>
  <si>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</si>
  <si>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</si>
  <si>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</si>
  <si>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</si>
  <si>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</si>
  <si>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</si>
  <si>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</si>
  <si>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</si>
  <si>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</si>
  <si>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</si>
  <si>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</si>
  <si>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</si>
  <si>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</si>
  <si>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</si>
  <si>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</si>
  <si>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</si>
  <si>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</si>
  <si>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</si>
  <si>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</si>
  <si>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</si>
  <si>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</si>
  <si>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</si>
  <si>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</si>
  <si>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</si>
  <si>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</si>
  <si>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</si>
  <si>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</si>
  <si>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</si>
  <si>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</si>
  <si>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</si>
  <si>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</si>
  <si>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</si>
  <si>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</si>
  <si>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</si>
  <si>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</si>
  <si>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</si>
  <si>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</si>
  <si>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</si>
  <si>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</si>
  <si>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</si>
  <si>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</si>
  <si>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</si>
  <si>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</si>
  <si>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</si>
  <si>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</si>
  <si>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</si>
  <si>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</si>
  <si>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</si>
  <si>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</si>
  <si>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</si>
  <si>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</si>
  <si>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</si>
  <si>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</si>
  <si>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</si>
  <si>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</si>
  <si>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</si>
  <si>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</si>
  <si>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</si>
  <si>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</si>
  <si>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</si>
  <si>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</si>
  <si>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</si>
  <si>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</si>
  <si>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</si>
  <si>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</si>
  <si>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</si>
  <si>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</si>
  <si>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</si>
  <si>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</si>
  <si>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</si>
  <si>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</si>
  <si>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</si>
  <si>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</si>
  <si>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</si>
  <si>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</si>
  <si>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</si>
  <si>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</si>
  <si>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</si>
  <si>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</si>
  <si>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</si>
  <si>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</si>
  <si>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</si>
  <si>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</si>
  <si>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</si>
  <si>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</si>
  <si>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</si>
  <si>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</si>
  <si>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</si>
  <si>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</si>
  <si>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</si>
  <si>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</si>
  <si>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</si>
  <si>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</si>
  <si>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</si>
  <si>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</si>
  <si>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</si>
  <si>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</si>
  <si>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</si>
  <si>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</si>
  <si>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</si>
  <si>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</si>
  <si>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</si>
  <si>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</si>
  <si>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</si>
  <si>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</si>
  <si>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</si>
  <si>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</si>
  <si>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</si>
  <si>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</si>
  <si>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</si>
  <si>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</si>
  <si>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</si>
  <si>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</si>
  <si>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</si>
  <si>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</si>
  <si>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</si>
  <si>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</si>
  <si>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</si>
  <si>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</si>
  <si>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</si>
  <si>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</si>
  <si>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</si>
  <si>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</si>
  <si>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</si>
  <si>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</si>
  <si>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</si>
  <si>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</si>
  <si>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</si>
  <si>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</si>
  <si>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</si>
  <si>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</si>
  <si>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</si>
  <si>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</si>
  <si>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</si>
  <si>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</si>
  <si>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</si>
  <si>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</si>
  <si>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</si>
  <si>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</si>
  <si>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</si>
  <si>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</si>
  <si>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</si>
  <si>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</si>
  <si>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</si>
  <si>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</si>
  <si>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</si>
  <si>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</si>
  <si>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</si>
  <si>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</si>
  <si>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</si>
  <si>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</si>
  <si>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</si>
  <si>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</si>
  <si>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</si>
  <si>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</si>
  <si>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</si>
  <si>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</si>
  <si>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</si>
  <si>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</si>
  <si>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</si>
  <si>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</si>
  <si>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</si>
  <si>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</si>
  <si>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</si>
  <si>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</si>
  <si>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</si>
  <si>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</si>
  <si>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</si>
  <si>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</si>
  <si>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</si>
  <si>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</si>
  <si>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</si>
  <si>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</si>
  <si>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</si>
  <si>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</si>
  <si>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</si>
  <si>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</si>
  <si>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</si>
  <si>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</si>
  <si>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</si>
  <si>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</si>
  <si>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</si>
  <si>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</si>
  <si>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</si>
  <si>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</si>
  <si>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</si>
  <si>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</si>
  <si>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</si>
  <si>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</si>
  <si>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</si>
  <si>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</si>
  <si>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</si>
  <si>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</si>
  <si>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</si>
  <si>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</si>
  <si>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</si>
  <si>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</si>
  <si>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</si>
  <si>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</si>
  <si>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</si>
  <si>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</si>
  <si>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</si>
  <si>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</si>
  <si>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</si>
  <si>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</si>
  <si>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</si>
  <si>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</si>
  <si>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</si>
  <si>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</si>
  <si>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</si>
  <si>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</si>
  <si>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</si>
  <si>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</si>
  <si>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</si>
  <si>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</si>
  <si>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</si>
  <si>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</si>
  <si>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</si>
  <si>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</si>
  <si>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</si>
  <si>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</si>
  <si>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</si>
  <si>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</si>
  <si>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</si>
  <si>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</si>
  <si>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</si>
  <si>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</si>
  <si>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</si>
  <si>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</si>
  <si>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</si>
  <si>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</si>
  <si>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</si>
  <si>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</si>
  <si>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</si>
  <si>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</si>
  <si>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</si>
  <si>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</si>
  <si>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</si>
  <si>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</si>
  <si>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</si>
  <si>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</si>
  <si>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</si>
  <si>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</si>
  <si>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</si>
  <si>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</si>
  <si>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</si>
  <si>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</si>
  <si>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</si>
  <si>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</si>
  <si>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</si>
  <si>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</si>
  <si>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</si>
  <si>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</si>
  <si>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</si>
  <si>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</si>
  <si>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</si>
  <si>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</si>
  <si>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</si>
  <si>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</si>
  <si>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</si>
  <si>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</si>
  <si>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</si>
  <si>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</si>
  <si>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</si>
  <si>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</si>
  <si>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</si>
  <si>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</si>
  <si>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</si>
  <si>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</si>
  <si>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</si>
  <si>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</si>
  <si>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</si>
  <si>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</si>
  <si>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</si>
  <si>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</si>
  <si>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</si>
  <si>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</si>
  <si>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</si>
  <si>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</si>
  <si>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</si>
  <si>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</si>
  <si>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</si>
  <si>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</si>
  <si>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</si>
  <si>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</si>
  <si>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</si>
  <si>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</si>
  <si>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</si>
  <si>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</si>
  <si>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</si>
  <si>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</si>
  <si>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</si>
  <si>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</si>
  <si>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</si>
  <si>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</si>
  <si>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</si>
  <si>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</si>
  <si>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</si>
  <si>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</si>
  <si>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</si>
  <si>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</si>
  <si>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</si>
  <si>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</si>
  <si>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</si>
  <si>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</si>
  <si>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</si>
  <si>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</si>
  <si>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</si>
  <si>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</si>
  <si>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</si>
  <si>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</si>
  <si>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</si>
  <si>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</si>
  <si>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</si>
  <si>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</si>
  <si>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</si>
  <si>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</si>
  <si>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</si>
  <si>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</si>
  <si>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</si>
  <si>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</si>
  <si>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</si>
  <si>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</si>
  <si>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</si>
  <si>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</si>
  <si>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</si>
  <si>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</si>
  <si>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</si>
  <si>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</si>
  <si>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</si>
  <si>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</si>
  <si>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</si>
  <si>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</si>
  <si>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</si>
  <si>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</si>
  <si>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</si>
  <si>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</si>
  <si>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</si>
  <si>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</si>
  <si>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</si>
  <si>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</si>
  <si>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</si>
  <si>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</si>
  <si>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26320264</t>
  </si>
  <si>
    <t>АО "Аскольд"</t>
  </si>
  <si>
    <t>2501001009</t>
  </si>
  <si>
    <t>250101001</t>
  </si>
  <si>
    <t>23-09-2021 00:00:00</t>
  </si>
  <si>
    <t>31909021</t>
  </si>
  <si>
    <t>АО "ВПЭС"</t>
  </si>
  <si>
    <t>2543196913</t>
  </si>
  <si>
    <t>254301001</t>
  </si>
  <si>
    <t>22-12-2025 00:00:00</t>
  </si>
  <si>
    <t>26470102</t>
  </si>
  <si>
    <t>АО "Горнорудная компания "АИР"</t>
  </si>
  <si>
    <t>2517005270</t>
  </si>
  <si>
    <t>254250001</t>
  </si>
  <si>
    <t>27879909</t>
  </si>
  <si>
    <t>272101001</t>
  </si>
  <si>
    <t>19-12-2005 00:00:00</t>
  </si>
  <si>
    <t>27051081</t>
  </si>
  <si>
    <t>997450001</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</si>
  <si>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</si>
  <si>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</si>
  <si>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</si>
  <si>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</si>
  <si>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</si>
  <si>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</si>
  <si>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</si>
  <si>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</si>
  <si>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</si>
  <si>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</si>
  <si>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</si>
  <si>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</si>
  <si>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</si>
  <si>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</si>
  <si>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</si>
  <si>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</si>
  <si>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</si>
  <si>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</si>
  <si>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</si>
  <si>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</si>
  <si>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</si>
  <si>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</si>
  <si>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</si>
  <si>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</si>
  <si>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</si>
  <si>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</si>
  <si>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</si>
  <si>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</si>
  <si>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</si>
  <si>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</si>
  <si>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</si>
  <si>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</si>
  <si>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</si>
  <si>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</si>
  <si>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</si>
  <si>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</si>
  <si>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</si>
  <si>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</si>
  <si>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</si>
  <si>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</si>
  <si>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</si>
  <si>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</si>
  <si>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</si>
  <si>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</si>
  <si>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</si>
  <si>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</si>
  <si>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</si>
  <si>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</si>
  <si>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</si>
  <si>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</si>
  <si>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</si>
  <si>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</si>
  <si>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</si>
  <si>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</si>
  <si>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</si>
  <si>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</si>
  <si>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</si>
  <si>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</si>
  <si>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</si>
  <si>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</si>
  <si>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</si>
  <si>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</si>
  <si>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</si>
  <si>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</si>
  <si>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</si>
  <si>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</si>
  <si>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</si>
  <si>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</si>
  <si>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</si>
  <si>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</si>
  <si>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</si>
  <si>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</si>
  <si>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</si>
  <si>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</si>
  <si>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</si>
  <si>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</si>
  <si>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</si>
  <si>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</si>
  <si>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</si>
  <si>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</si>
  <si>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</si>
  <si>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</si>
  <si>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</si>
  <si>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</si>
  <si>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</si>
  <si>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</si>
  <si>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</si>
  <si>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</si>
  <si>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12-05-2025 00:00:00</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</si>
  <si>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</si>
  <si>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</si>
  <si>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</si>
  <si>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</si>
  <si>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</si>
  <si>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</si>
  <si>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</si>
  <si>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</si>
  <si>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</si>
  <si>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</si>
  <si>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26-03-2025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</si>
  <si>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</si>
  <si>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</si>
  <si>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</si>
  <si>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</si>
  <si>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</si>
  <si>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</si>
  <si>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</si>
  <si>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</si>
  <si>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</si>
  <si>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</si>
  <si>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</si>
  <si>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</si>
  <si>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</si>
  <si>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</si>
  <si>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</si>
  <si>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</si>
  <si>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</si>
  <si>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</si>
  <si>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</si>
  <si>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</si>
  <si>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</si>
  <si>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</si>
  <si>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</si>
  <si>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</si>
  <si>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</si>
  <si>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</si>
  <si>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</si>
  <si>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</si>
  <si>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</si>
  <si>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</si>
  <si>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</si>
  <si>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</si>
  <si>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</si>
  <si>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</si>
  <si>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</si>
  <si>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</si>
  <si>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</si>
  <si>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</si>
  <si>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</si>
  <si>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</si>
  <si>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</si>
  <si>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</si>
  <si>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</si>
  <si>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</si>
  <si>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</si>
  <si>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</si>
  <si>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</si>
  <si>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</si>
  <si>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</si>
  <si>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</si>
  <si>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</si>
  <si>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</si>
  <si>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</si>
  <si>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</si>
  <si>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</si>
  <si>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</si>
  <si>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</si>
  <si>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</si>
  <si>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</si>
  <si>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</si>
  <si>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</si>
  <si>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</si>
  <si>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</si>
  <si>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</si>
  <si>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</si>
  <si>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</si>
  <si>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</si>
  <si>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</si>
  <si>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</si>
  <si>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</si>
  <si>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</si>
  <si>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</si>
  <si>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</si>
  <si>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</si>
  <si>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</si>
  <si>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</si>
  <si>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</si>
  <si>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</si>
  <si>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</si>
  <si>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</si>
  <si>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</si>
  <si>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</si>
  <si>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</si>
  <si>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</si>
  <si>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</si>
  <si>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</si>
  <si>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</si>
  <si>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</si>
  <si>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</si>
  <si>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</si>
  <si>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</si>
  <si>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</si>
  <si>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</si>
  <si>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</si>
  <si>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</si>
  <si>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</si>
  <si>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</si>
  <si>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</si>
  <si>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</si>
  <si>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</si>
  <si>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</si>
  <si>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</si>
  <si>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</si>
  <si>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</si>
  <si>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</si>
  <si>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</si>
  <si>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</si>
  <si>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</si>
  <si>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</si>
  <si>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</si>
  <si>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</si>
  <si>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</si>
  <si>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</si>
  <si>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</si>
  <si>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03-07-2025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</si>
  <si>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</si>
  <si>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</si>
  <si>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</si>
  <si>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</si>
  <si>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</si>
  <si>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</si>
  <si>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</si>
  <si>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</si>
  <si>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</si>
  <si>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</si>
  <si>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</si>
  <si>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</si>
  <si>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</si>
  <si>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</si>
  <si>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</si>
  <si>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</si>
  <si>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</si>
  <si>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</si>
  <si>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</si>
  <si>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</si>
  <si>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</si>
  <si>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</si>
  <si>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</si>
  <si>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</si>
  <si>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</si>
  <si>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</si>
  <si>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</si>
  <si>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</si>
  <si>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</si>
  <si>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</si>
  <si>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</si>
  <si>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</si>
  <si>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</si>
  <si>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</si>
  <si>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</si>
  <si>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</si>
  <si>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</si>
  <si>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</si>
  <si>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</si>
  <si>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31879901</t>
  </si>
  <si>
    <t>ООО "ПТК"</t>
  </si>
  <si>
    <t>2540289165</t>
  </si>
  <si>
    <t>10-12-2024 00:00:00</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</si>
  <si>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</si>
  <si>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</si>
  <si>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</si>
  <si>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</si>
  <si>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</si>
  <si>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</si>
  <si>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</si>
  <si>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</si>
  <si>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</si>
  <si>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</si>
  <si>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</si>
  <si>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</si>
  <si>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</si>
  <si>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</si>
  <si>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</si>
  <si>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</si>
  <si>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</si>
  <si>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</si>
  <si>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</si>
  <si>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</si>
  <si>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</si>
  <si>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</si>
  <si>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</si>
  <si>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</si>
  <si>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</si>
  <si>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</si>
  <si>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</si>
  <si>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</si>
  <si>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</si>
  <si>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</si>
  <si>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</si>
  <si>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</si>
  <si>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</si>
  <si>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</si>
  <si>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</si>
  <si>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</si>
  <si>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</si>
  <si>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</si>
  <si>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</si>
  <si>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</si>
  <si>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</si>
  <si>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</si>
  <si>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</si>
  <si>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</si>
  <si>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</si>
  <si>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</si>
  <si>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30985360</t>
  </si>
  <si>
    <t>ООО "Хасантепло"</t>
  </si>
  <si>
    <t>2531012946</t>
  </si>
  <si>
    <t>28856110</t>
  </si>
  <si>
    <t>ООО "Цефей"</t>
  </si>
  <si>
    <t>2517010802</t>
  </si>
  <si>
    <t>251701001</t>
  </si>
  <si>
    <t>15-08-2025 00:00:00</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</si>
  <si>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</si>
  <si>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</si>
  <si>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</si>
  <si>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</si>
  <si>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</si>
  <si>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</si>
  <si>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</si>
  <si>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</si>
  <si>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</si>
  <si>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</si>
  <si>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</si>
  <si>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</si>
  <si>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</si>
  <si>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</si>
  <si>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</si>
  <si>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</si>
  <si>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</si>
  <si>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</si>
  <si>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</si>
  <si>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</si>
  <si>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</si>
  <si>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</si>
  <si>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</si>
  <si>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</si>
  <si>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</si>
  <si>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</si>
  <si>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</si>
  <si>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</si>
  <si>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</si>
  <si>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</si>
  <si>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</si>
  <si>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</si>
  <si>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</si>
  <si>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</si>
  <si>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</si>
  <si>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</si>
  <si>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</si>
  <si>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</si>
  <si>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</si>
  <si>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</si>
  <si>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</si>
  <si>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</si>
  <si>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</si>
  <si>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</si>
  <si>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</si>
  <si>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</si>
  <si>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</si>
  <si>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</si>
  <si>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</si>
  <si>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31912911</t>
  </si>
  <si>
    <t>ФГБУ "Национальный парк "Бикин"</t>
  </si>
  <si>
    <t>2526006418</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</si>
  <si>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</si>
  <si>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</si>
  <si>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</si>
  <si>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</si>
  <si>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</si>
  <si>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</si>
  <si>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</si>
  <si>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</si>
  <si>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</si>
  <si>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</si>
  <si>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</si>
  <si>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28427651</t>
  </si>
  <si>
    <t>ФГКУ "Войсковая часть 83417"</t>
  </si>
  <si>
    <t>2503006098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</si>
  <si>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</si>
  <si>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</si>
  <si>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</si>
  <si>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</si>
  <si>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</si>
  <si>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</si>
  <si>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</si>
  <si>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</si>
  <si>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</si>
  <si>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</si>
  <si>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</si>
  <si>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</si>
  <si>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</si>
  <si>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</si>
  <si>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</si>
  <si>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</si>
  <si>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</si>
  <si>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</si>
  <si>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</si>
  <si>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</si>
  <si>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</si>
  <si>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</si>
  <si>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</si>
  <si>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</si>
  <si>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</si>
  <si>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</si>
  <si>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</si>
  <si>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</si>
  <si>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</si>
  <si>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</si>
  <si>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</si>
  <si>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</si>
  <si>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09-08-2011 00:00:00</t>
  </si>
  <si>
    <t>27570707</t>
  </si>
  <si>
    <t>ооо Жилком-2</t>
  </si>
  <si>
    <t>2507229507</t>
  </si>
  <si>
    <t>250701001</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</si>
  <si>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</si>
  <si>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</si>
  <si>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</si>
  <si>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</si>
  <si>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</si>
  <si>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</si>
  <si>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</si>
  <si>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</si>
  <si>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</si>
  <si>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</si>
  <si>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</si>
  <si>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</si>
  <si>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</si>
  <si>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</si>
  <si>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</si>
  <si>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</si>
  <si>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</si>
  <si>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</si>
  <si>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</si>
  <si>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</si>
  <si>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</si>
  <si>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</si>
  <si>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</si>
  <si>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</si>
  <si>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</si>
  <si>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</si>
  <si>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</si>
  <si>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</si>
  <si>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</si>
  <si>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</si>
  <si>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</si>
  <si>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</si>
  <si>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</si>
  <si>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</si>
  <si>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</si>
  <si>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</si>
  <si>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</si>
  <si>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</si>
  <si>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</si>
  <si>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</si>
  <si>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</si>
  <si>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</si>
  <si>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</si>
  <si>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</si>
  <si>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04-02-2025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</si>
  <si>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</si>
  <si>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</si>
  <si>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</si>
  <si>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</si>
  <si>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</si>
  <si>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</si>
  <si>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</si>
  <si>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</si>
  <si>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</si>
  <si>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</si>
  <si>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</si>
  <si>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</si>
  <si>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</si>
  <si>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</si>
  <si>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</si>
  <si>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</si>
  <si>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</si>
  <si>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</si>
  <si>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</si>
  <si>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</si>
  <si>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</si>
  <si>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</si>
  <si>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</si>
  <si>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31835236</t>
  </si>
  <si>
    <t>МБУ ЛМО "Городское ЖКХ"</t>
  </si>
  <si>
    <t>2511130300</t>
  </si>
  <si>
    <t>21-11-2024 00:00:00</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</si>
  <si>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</si>
  <si>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</si>
  <si>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</si>
  <si>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</si>
  <si>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</si>
  <si>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</si>
  <si>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</si>
  <si>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</si>
  <si>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</si>
  <si>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</si>
  <si>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</si>
  <si>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</si>
  <si>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</si>
  <si>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</si>
  <si>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</si>
  <si>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</si>
  <si>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</si>
  <si>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</si>
  <si>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</si>
  <si>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11-02-2026 00:00:00</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</si>
  <si>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</si>
  <si>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</si>
  <si>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</si>
  <si>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</si>
  <si>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</si>
  <si>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</si>
  <si>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</si>
  <si>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</si>
  <si>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</si>
  <si>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</si>
  <si>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</si>
  <si>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</si>
  <si>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</si>
  <si>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</si>
  <si>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</si>
  <si>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</si>
  <si>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</si>
  <si>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</si>
  <si>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</si>
  <si>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</si>
  <si>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</si>
  <si>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</si>
  <si>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</si>
  <si>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</si>
  <si>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</si>
  <si>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</si>
  <si>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</si>
  <si>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</si>
  <si>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</si>
  <si>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</si>
  <si>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</si>
  <si>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</si>
  <si>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</si>
  <si>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</si>
  <si>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</si>
  <si>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</si>
  <si>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</si>
  <si>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</si>
  <si>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</si>
  <si>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</si>
  <si>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</si>
  <si>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</si>
  <si>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</si>
  <si>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</si>
  <si>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</si>
  <si>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</si>
  <si>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</si>
  <si>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</si>
  <si>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</si>
  <si>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</si>
  <si>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</si>
  <si>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</si>
  <si>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</si>
  <si>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</si>
  <si>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</si>
  <si>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</si>
  <si>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</si>
  <si>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</si>
  <si>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</si>
  <si>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</si>
  <si>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</si>
  <si>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</si>
  <si>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</si>
  <si>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</si>
  <si>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</si>
  <si>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</si>
  <si>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</si>
  <si>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</si>
  <si>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</si>
  <si>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</si>
  <si>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</si>
  <si>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</si>
  <si>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</si>
  <si>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</si>
  <si>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</si>
  <si>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</si>
  <si>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</si>
  <si>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</si>
  <si>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</si>
  <si>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</si>
  <si>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</si>
  <si>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</si>
  <si>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</si>
  <si>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</si>
  <si>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31739705</t>
  </si>
  <si>
    <t>ООО "Горноключевской Водоканал"</t>
  </si>
  <si>
    <t>2511126800</t>
  </si>
  <si>
    <t>16-01-2024 00:00:00</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</si>
  <si>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</si>
  <si>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</si>
  <si>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</si>
  <si>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</si>
  <si>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</si>
  <si>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</si>
  <si>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</si>
  <si>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</si>
  <si>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</si>
  <si>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</si>
  <si>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</si>
  <si>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</si>
  <si>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</si>
  <si>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</si>
  <si>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</si>
  <si>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</si>
  <si>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</si>
  <si>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23-07-2025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</si>
  <si>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</si>
  <si>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</si>
  <si>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</si>
  <si>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</si>
  <si>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</si>
  <si>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</si>
  <si>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</si>
  <si>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</si>
  <si>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</si>
  <si>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</si>
  <si>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</si>
  <si>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</si>
  <si>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</si>
  <si>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</si>
  <si>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</si>
  <si>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</si>
  <si>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</si>
  <si>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</si>
  <si>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31837611</t>
  </si>
  <si>
    <t>ООО "ПРОК"</t>
  </si>
  <si>
    <t>2536348178</t>
  </si>
  <si>
    <t>20-12-2024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</si>
  <si>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</si>
  <si>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</si>
  <si>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</si>
  <si>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</si>
  <si>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</si>
  <si>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</si>
  <si>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</si>
  <si>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</si>
  <si>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</si>
  <si>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</si>
  <si>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</si>
  <si>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</si>
  <si>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</si>
  <si>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</si>
  <si>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</si>
  <si>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</si>
  <si>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</si>
  <si>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</si>
  <si>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</si>
  <si>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</si>
  <si>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</si>
  <si>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</si>
  <si>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</si>
  <si>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</si>
  <si>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</si>
  <si>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04-04-2025 00:00:00</t>
  </si>
  <si>
    <t>26470359</t>
  </si>
  <si>
    <t>ООО ВодЕко</t>
  </si>
  <si>
    <t>2524100359</t>
  </si>
  <si>
    <t>26470231</t>
  </si>
  <si>
    <t>ООО Горный ключ</t>
  </si>
  <si>
    <t>2508077254</t>
  </si>
  <si>
    <t>10-06-2025 00:00:00</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</si>
  <si>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</si>
  <si>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</si>
  <si>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</si>
  <si>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</si>
  <si>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</si>
  <si>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</si>
  <si>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</si>
  <si>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</si>
  <si>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</si>
  <si>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</si>
  <si>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</si>
  <si>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</si>
  <si>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</si>
  <si>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</si>
  <si>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</si>
  <si>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</si>
  <si>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</si>
  <si>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</si>
  <si>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</si>
  <si>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</si>
  <si>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</si>
  <si>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</si>
  <si>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</si>
  <si>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</si>
  <si>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</si>
  <si>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</si>
  <si>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</si>
  <si>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</si>
  <si>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</si>
  <si>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</si>
  <si>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</si>
  <si>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</si>
  <si>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</si>
  <si>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</si>
  <si>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</si>
  <si>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</si>
  <si>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</si>
  <si>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</si>
  <si>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</si>
  <si>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</si>
  <si>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</si>
  <si>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</si>
  <si>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</si>
  <si>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</si>
  <si>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</si>
  <si>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</si>
  <si>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</si>
  <si>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</si>
  <si>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</si>
  <si>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</si>
  <si>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</si>
  <si>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</si>
  <si>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</si>
  <si>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</si>
  <si>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</si>
  <si>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</si>
  <si>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</si>
  <si>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</si>
  <si>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</si>
  <si>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</si>
  <si>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</si>
  <si>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</si>
  <si>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</si>
  <si>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</si>
  <si>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</si>
  <si>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</si>
  <si>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</si>
  <si>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</si>
  <si>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</si>
  <si>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</si>
  <si>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</si>
  <si>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</si>
  <si>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</si>
  <si>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</si>
  <si>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</si>
  <si>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11-07-2025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</si>
  <si>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</si>
  <si>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</si>
  <si>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</si>
  <si>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</si>
  <si>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</si>
  <si>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</si>
  <si>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</si>
  <si>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</si>
  <si>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</si>
  <si>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</si>
  <si>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</si>
  <si>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</si>
  <si>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</si>
  <si>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</si>
  <si>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</si>
  <si>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</si>
  <si>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</si>
  <si>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</si>
  <si>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</si>
  <si>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</si>
  <si>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31911056</t>
  </si>
  <si>
    <t>ООО "Альфа"</t>
  </si>
  <si>
    <t>2508147670</t>
  </si>
  <si>
    <t>11-10-2023 00:00:00</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</si>
  <si>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</si>
  <si>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</si>
  <si>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</si>
  <si>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</si>
  <si>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</si>
  <si>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</si>
  <si>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</si>
  <si>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</si>
  <si>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</si>
  <si>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</si>
  <si>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</si>
  <si>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14-03-2025 00:00:00</t>
  </si>
  <si>
    <t>30866915</t>
  </si>
  <si>
    <t>ООО "Феникс"</t>
  </si>
  <si>
    <t>2501018098</t>
  </si>
  <si>
    <t>22-12-2015 00:00:00</t>
  </si>
  <si>
    <t>31699066</t>
  </si>
  <si>
    <t>ИП Жидкова Елена Николаевна</t>
  </si>
  <si>
    <t>253100385036</t>
  </si>
  <si>
    <t>29-08-2000 00:00:00</t>
  </si>
  <si>
    <t>16-10-2025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</si>
  <si>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</si>
  <si>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</si>
  <si>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</si>
  <si>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</si>
  <si>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</si>
  <si>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</si>
  <si>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</si>
  <si>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</si>
  <si>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</si>
  <si>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</si>
  <si>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</si>
  <si>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</si>
  <si>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</si>
  <si>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</si>
  <si>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</si>
  <si>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</si>
  <si>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</si>
  <si>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</si>
  <si>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</si>
  <si>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</si>
  <si>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</si>
  <si>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</si>
  <si>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</si>
  <si>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</si>
  <si>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</si>
  <si>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</si>
  <si>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</si>
  <si>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</si>
  <si>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</si>
  <si>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</si>
  <si>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</si>
  <si>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</si>
  <si>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</si>
  <si>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</si>
  <si>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</si>
  <si>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</si>
  <si>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</si>
  <si>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</si>
  <si>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</si>
  <si>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</si>
  <si>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</si>
  <si>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</si>
  <si>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</si>
  <si>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</si>
  <si>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</si>
  <si>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</si>
  <si>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</si>
  <si>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</si>
  <si>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</si>
  <si>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</si>
  <si>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</si>
  <si>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</si>
  <si>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</si>
  <si>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</si>
  <si>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</si>
  <si>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</si>
  <si>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</si>
  <si>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</si>
  <si>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</si>
  <si>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</si>
  <si>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</si>
  <si>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</si>
  <si>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</si>
  <si>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</si>
  <si>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</si>
  <si>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</si>
  <si>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</si>
  <si>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</si>
  <si>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</si>
  <si>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</si>
  <si>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</si>
  <si>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</si>
  <si>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</si>
  <si>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</si>
  <si>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</si>
  <si>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</si>
  <si>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</si>
  <si>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</si>
  <si>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</si>
  <si>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</si>
  <si>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</si>
  <si>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</si>
  <si>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</si>
  <si>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</si>
  <si>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</si>
  <si>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</si>
  <si>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</si>
  <si>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</si>
  <si>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</si>
  <si>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</si>
  <si>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</si>
  <si>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</si>
  <si>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</si>
  <si>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</si>
  <si>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</si>
  <si>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</si>
  <si>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</si>
  <si>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</si>
  <si>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</si>
  <si>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</si>
  <si>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</si>
  <si>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</si>
  <si>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</si>
  <si>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</si>
  <si>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</si>
  <si>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</si>
  <si>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</si>
  <si>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</si>
  <si>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</si>
  <si>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</si>
  <si>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</si>
  <si>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</si>
  <si>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</si>
  <si>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</si>
  <si>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</si>
  <si>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</si>
  <si>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</si>
  <si>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</si>
  <si>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</si>
  <si>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</si>
  <si>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</si>
  <si>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</si>
  <si>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</si>
  <si>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</si>
  <si>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</si>
  <si>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</si>
  <si>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</si>
  <si>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</si>
  <si>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</si>
  <si>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</si>
  <si>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</si>
  <si>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</si>
  <si>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</si>
  <si>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</si>
  <si>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</si>
  <si>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</si>
  <si>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</si>
  <si>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</si>
  <si>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</si>
  <si>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</si>
  <si>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</si>
  <si>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</si>
  <si>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</si>
  <si>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</si>
  <si>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</si>
  <si>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</si>
  <si>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</si>
  <si>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</si>
  <si>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</si>
  <si>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</si>
  <si>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</si>
  <si>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</si>
  <si>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</si>
  <si>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</si>
  <si>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</si>
  <si>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</si>
  <si>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</si>
  <si>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</si>
  <si>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</si>
  <si>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</si>
  <si>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Городской округ Спасск-Дальний</t>
  </si>
  <si>
    <t>05720000</t>
  </si>
  <si>
    <t>Дальнегорский городской округ</t>
  </si>
  <si>
    <t>05707000</t>
  </si>
  <si>
    <t>Дальнегорский муниципальный округ</t>
  </si>
  <si>
    <t>05505000</t>
  </si>
  <si>
    <t>Дальнереченский городской округ</t>
  </si>
  <si>
    <t>05708000</t>
  </si>
  <si>
    <t>Дальнереченский муниципальный округ</t>
  </si>
  <si>
    <t>05507000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</si>
  <si>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</si>
  <si>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</si>
  <si>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</si>
  <si>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</si>
  <si>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</si>
  <si>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</si>
  <si>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</si>
  <si>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</si>
  <si>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</si>
  <si>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</si>
  <si>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</si>
  <si>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</si>
  <si>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</si>
  <si>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</si>
  <si>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</si>
  <si>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</si>
  <si>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</si>
  <si>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</si>
  <si>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</si>
  <si>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</si>
  <si>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</si>
  <si>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округ</t>
  </si>
  <si>
    <t>05512000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</si>
  <si>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</si>
  <si>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</si>
  <si>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</si>
  <si>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</si>
  <si>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</si>
  <si>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</si>
  <si>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</si>
  <si>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</si>
  <si>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</si>
  <si>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</si>
  <si>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</si>
  <si>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</si>
  <si>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</si>
  <si>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</si>
  <si>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</si>
  <si>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</si>
  <si>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</si>
  <si>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</si>
  <si>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</si>
  <si>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</si>
  <si>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</si>
  <si>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</si>
  <si>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</si>
  <si>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</si>
  <si>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</si>
  <si>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</si>
  <si>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</si>
  <si>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</si>
  <si>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</si>
  <si>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</si>
  <si>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</si>
  <si>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</si>
  <si>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</si>
  <si>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</si>
  <si>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</si>
  <si>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</si>
  <si>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</si>
  <si>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</si>
  <si>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</si>
  <si>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</si>
  <si>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</si>
  <si>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</si>
  <si>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</si>
  <si>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</si>
  <si>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</si>
  <si>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Лесозаводский муниципальный округ</t>
  </si>
  <si>
    <t>05519000</t>
  </si>
  <si>
    <t>Михайловский муниципальный округ</t>
  </si>
  <si>
    <t>05520000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</si>
  <si>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</si>
  <si>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</si>
  <si>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</si>
  <si>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</si>
  <si>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</si>
  <si>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</si>
  <si>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</si>
  <si>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</si>
  <si>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</si>
  <si>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</si>
  <si>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</si>
  <si>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</si>
  <si>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</si>
  <si>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</si>
  <si>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</si>
  <si>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</si>
  <si>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округ</t>
  </si>
  <si>
    <t>05523000</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</si>
  <si>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</si>
  <si>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</si>
  <si>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</si>
  <si>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</si>
  <si>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</si>
  <si>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</si>
  <si>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</si>
  <si>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</si>
  <si>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</si>
  <si>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</si>
  <si>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</si>
  <si>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</si>
  <si>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</si>
  <si>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</si>
  <si>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</si>
  <si>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</si>
  <si>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</si>
  <si>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</si>
  <si>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</si>
  <si>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</si>
  <si>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</si>
  <si>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</si>
  <si>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</si>
  <si>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</si>
  <si>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</si>
  <si>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</si>
  <si>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</si>
  <si>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</si>
  <si>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</si>
  <si>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</si>
  <si>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</si>
  <si>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</si>
  <si>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</si>
  <si>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</si>
  <si>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</si>
  <si>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</si>
  <si>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</si>
  <si>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</si>
  <si>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</si>
  <si>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</si>
  <si>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</si>
  <si>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</si>
  <si>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</si>
  <si>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</si>
  <si>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</si>
  <si>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</si>
  <si>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</si>
  <si>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</si>
  <si>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</si>
  <si>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</si>
  <si>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Хвалынское сельское поселение</t>
  </si>
  <si>
    <t>05637443</t>
  </si>
  <si>
    <t>Чкаловское сельское поселение</t>
  </si>
  <si>
    <t>05637446</t>
  </si>
  <si>
    <t>Тернейский муниципальный округ</t>
  </si>
  <si>
    <t>05540000</t>
  </si>
  <si>
    <t>Уссурийский городской округ</t>
  </si>
  <si>
    <t>05723000</t>
  </si>
  <si>
    <t>Ханкайский муниципальный округ</t>
  </si>
  <si>
    <t>05546000</t>
  </si>
  <si>
    <t>Хасанский муниципальный округ</t>
  </si>
  <si>
    <t>05548000</t>
  </si>
  <si>
    <t>Хорольский муниципальный округ</t>
  </si>
  <si>
    <t>05550000</t>
  </si>
  <si>
    <t>Черниговский муниципальный округ</t>
  </si>
  <si>
    <t>05553000</t>
  </si>
  <si>
    <t>Черниговский муниципальный район</t>
  </si>
  <si>
    <t>05653000</t>
  </si>
  <si>
    <t>Дмитриевское сельское поселение</t>
  </si>
  <si>
    <t>05653410</t>
  </si>
  <si>
    <t>Межселенные территории Черниговского муниципального района, находящиеся вне границ городского и сельских поселений</t>
  </si>
  <si>
    <t>05653701</t>
  </si>
  <si>
    <t>Реттиховское городское поселение</t>
  </si>
  <si>
    <t>05653422</t>
  </si>
  <si>
    <t>Сибирцевское городское поселение</t>
  </si>
  <si>
    <t>05653158</t>
  </si>
  <si>
    <t>Снегуровское</t>
  </si>
  <si>
    <t>05653419</t>
  </si>
  <si>
    <t>Черниговское сельское поселение</t>
  </si>
  <si>
    <t>05653425</t>
  </si>
  <si>
    <t>Чугуевский муниципальный округ</t>
  </si>
  <si>
    <t>05555000</t>
  </si>
  <si>
    <t>Шкотовский муниципальный округ</t>
  </si>
  <si>
    <t>05557000</t>
  </si>
  <si>
    <t>Шкотовский муниципальный район</t>
  </si>
  <si>
    <t>05657000</t>
  </si>
  <si>
    <t>Новонежинское сельское поселение</t>
  </si>
  <si>
    <t>05657413</t>
  </si>
  <si>
    <t>Подъяпольское сельское поселение</t>
  </si>
  <si>
    <t>05657422</t>
  </si>
  <si>
    <t>Романовское сельское поселение</t>
  </si>
  <si>
    <t>05657425</t>
  </si>
  <si>
    <t>Смоляниновское городское поселение</t>
  </si>
  <si>
    <t>05657158</t>
  </si>
  <si>
    <t>Центральненское сельское поселение</t>
  </si>
  <si>
    <t>05657428</t>
  </si>
  <si>
    <t>Шкотовское городское поселение</t>
  </si>
  <si>
    <t>05657165</t>
  </si>
  <si>
    <t>Штыковское сельское поселение</t>
  </si>
  <si>
    <t>05657432</t>
  </si>
  <si>
    <t>Яковлевский муниципальный округ</t>
  </si>
  <si>
    <t>05559000</t>
  </si>
  <si>
    <t>Яковлевский муниципальный район</t>
  </si>
  <si>
    <t>05659000</t>
  </si>
  <si>
    <t>Варфоломеевское сельское поселение</t>
  </si>
  <si>
    <t>05659407</t>
  </si>
  <si>
    <t>Новосысоевское сельское поселение</t>
  </si>
  <si>
    <t>05659413</t>
  </si>
  <si>
    <t>106</t>
  </si>
  <si>
    <t>Покровское сельское поселение</t>
  </si>
  <si>
    <t>05659416</t>
  </si>
  <si>
    <t>107</t>
  </si>
  <si>
    <t>Яблоновское</t>
  </si>
  <si>
    <t>05659419</t>
  </si>
  <si>
    <t>108</t>
  </si>
  <si>
    <t>109</t>
  </si>
  <si>
    <t>Яковлевское сельское поселение</t>
  </si>
  <si>
    <t>05659422</t>
  </si>
  <si>
    <t>110</t>
  </si>
  <si>
    <t>городской округ Большой Камень</t>
  </si>
  <si>
    <t>05706000</t>
  </si>
  <si>
    <t>городской округ ЗАТО Фокино</t>
  </si>
  <si>
    <t>05747000</t>
  </si>
  <si>
    <t>112</t>
  </si>
  <si>
    <t>муниципальный округ Спасск-Дальний</t>
  </si>
  <si>
    <t>05537000</t>
  </si>
  <si>
    <t>113</t>
  </si>
  <si>
    <t>муниципальный округ город Партизанск</t>
  </si>
  <si>
    <t>05529000</t>
  </si>
  <si>
    <t>114</t>
  </si>
  <si>
    <t>NUMBER_POINT</t>
  </si>
  <si>
    <t>INVP_NAME</t>
  </si>
  <si>
    <t>INVP_ID</t>
  </si>
  <si>
    <t>L_START_DATE</t>
  </si>
  <si>
    <t>L_END_DATE</t>
  </si>
  <si>
    <t>L_DECISION_NAME</t>
  </si>
  <si>
    <t>L_DECISION_TYPE</t>
  </si>
  <si>
    <t>L_DECISION_NMBR</t>
  </si>
  <si>
    <t>L_DECISION_DATE</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</si>
  <si>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</si>
  <si>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7828867895</t>
  </si>
  <si>
    <t>01.01.2023</t>
  </si>
  <si>
    <t>31.12.2027</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</si>
  <si>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</si>
  <si>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</si>
  <si>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12.12.2019</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</si>
  <si>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</si>
  <si>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7660580246</t>
  </si>
  <si>
    <t>01.01.2024</t>
  </si>
  <si>
    <t>28.12.2023</t>
  </si>
  <si>
    <t>8729900648</t>
  </si>
  <si>
    <t>Инвестиционная программа от 12.12.2025 ООО "ПТК" в сфере теплоснабжения и горячего водоснабжения по техническому перевооружению блочно-модульной котельной, на территории городского округа Владивостокский на 2026-2037 годы</t>
  </si>
  <si>
    <t>01.01.2026</t>
  </si>
  <si>
    <t>31.12.2037</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</si>
  <si>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</si>
  <si>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</si>
  <si>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</si>
  <si>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</si>
  <si>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</si>
  <si>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</si>
  <si>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</si>
  <si>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</si>
  <si>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</si>
  <si>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</si>
  <si>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</si>
  <si>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</si>
  <si>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</si>
  <si>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</si>
  <si>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</si>
  <si>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</si>
  <si>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</si>
  <si>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</si>
  <si>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</si>
  <si>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</si>
  <si>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</si>
  <si>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</si>
  <si>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</si>
  <si>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</si>
  <si>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</si>
  <si>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</si>
  <si>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</si>
  <si>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</si>
  <si>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</si>
  <si>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</si>
  <si>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</si>
  <si>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</si>
  <si>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частная собственность</t>
  </si>
  <si>
    <t>собственное имущество</t>
  </si>
  <si>
    <t>https://portal.eias.ru/Portal/DownloadPage.aspx?type=12&amp;guid=de356e1a-fdc5-44c9-9155-7ae115d261ec</t>
  </si>
  <si>
    <t>эксплуатируется</t>
  </si>
  <si>
    <t>свидетельство</t>
  </si>
  <si>
    <t>собственность</t>
  </si>
  <si>
    <t>25-АА №834489</t>
  </si>
  <si>
    <t>31.12.2006</t>
  </si>
  <si>
    <t>300</t>
  </si>
  <si>
    <t>201.9869</t>
  </si>
  <si>
    <t>[Уголь газовый] :: [Уголь длиннопламенный] :: [Мазут М-100]</t>
  </si>
  <si>
    <t>204.4</t>
  </si>
  <si>
    <t>https://portal.eias.ru/Portal/DownloadPage.aspx?type=12&amp;guid=7d7c3ce2-72cb-4493-88cc-fb68d2498afe</t>
  </si>
  <si>
    <t>25-АА №778456</t>
  </si>
  <si>
    <t>350</t>
  </si>
  <si>
    <t>172.419</t>
  </si>
  <si>
    <t>[Газ природный] :: [Мазут М-100]</t>
  </si>
  <si>
    <t>https://portal.eias.ru/Portal/DownloadPage.aspx?type=12&amp;guid=7de2b471-c7da-4a6e-8464-d0610fd0e8dc</t>
  </si>
  <si>
    <t>договор</t>
  </si>
  <si>
    <t>договор инвестирования</t>
  </si>
  <si>
    <t>РАО-22/002</t>
  </si>
  <si>
    <t>10.02.2022</t>
  </si>
  <si>
    <t>https://portal.eias.ru/Portal/DownloadPage.aspx?type=12&amp;guid=d678d3a7-ecd4-454d-ba98-a82c7ab34b28</t>
  </si>
  <si>
    <t>432</t>
  </si>
  <si>
    <t>260.419</t>
  </si>
  <si>
    <t>259.858</t>
  </si>
  <si>
    <t>25-АА №778442, 25-АА №778446</t>
  </si>
  <si>
    <t>555</t>
  </si>
  <si>
    <t>273.076</t>
  </si>
  <si>
    <t>263.969</t>
  </si>
  <si>
    <t>25-АА №778447</t>
  </si>
  <si>
    <t>711</t>
  </si>
  <si>
    <t>413.202</t>
  </si>
  <si>
    <t>партизанский городской округ</t>
  </si>
  <si>
    <t>https://portal.eias.ru/Portal/DownloadPage.aspx?type=12&amp;guid=4e0e3853-aa93-4e36-a8a0-b38411bdeecb</t>
  </si>
  <si>
    <t>25-АА №772384</t>
  </si>
  <si>
    <t>160</t>
  </si>
  <si>
    <t>61.895</t>
  </si>
  <si>
    <t>[Уголь газовый] :: [Уголь длиннопламенный] :: [Уголь слабоспекающийся] :: [Мазут М-100]</t>
  </si>
  <si>
    <t>[Уголь газовый] :: [Уголь длиннопламенный] :: [Уголь слабоспекающийся] :: [Мазут М-100] :: [Дизельное топливо Е (межсезонное)]</t>
  </si>
  <si>
    <t>TER_NAME</t>
  </si>
  <si>
    <t>Территория 1</t>
  </si>
  <si>
    <t>Территория 2</t>
  </si>
  <si>
    <t>Территория 3</t>
  </si>
  <si>
    <t>ID_TARIFF_NAME</t>
  </si>
  <si>
    <t>TARIFF_NAME</t>
  </si>
  <si>
    <t>VED_NAME</t>
  </si>
  <si>
    <t>4190064</t>
  </si>
  <si>
    <t>4190065</t>
  </si>
  <si>
    <t>4190066</t>
  </si>
  <si>
    <t>4190067</t>
  </si>
  <si>
    <t>4190068</t>
  </si>
  <si>
    <t>4190069</t>
  </si>
  <si>
    <t>4190070</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</si>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</sst>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9">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theme="0" tint="-0.25"/>
      </left>
      <right style="thin">
        <color rgb="FFC0C0C0"/>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923">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80"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77"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7" fillId="0" borderId="0" xfId="0" applyFont="1" applyNumberFormat="1">
      <alignment horizontal="center" vertical="center" wrapText="1"/>
    </xf>
    <xf numFmtId="179" fontId="47"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4" fillId="0" borderId="19" xfId="0" applyFont="1" applyBorder="1" applyNumberFormat="1">
      <alignment horizontal="center" vertical="center" wrapText="1"/>
    </xf>
    <xf numFmtId="180" fontId="44"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22" fillId="0" borderId="13" xfId="0" applyFont="1" applyBorder="1">
      <alignment horizontal="center" vertical="center" wrapText="1"/>
    </xf>
    <xf numFmtId="49" fontId="22"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left" vertical="center" wrapText="1"/>
    </xf>
    <xf numFmtId="4" fontId="22" fillId="36" borderId="17" xfId="0" applyFont="1" applyFill="1" applyBorder="1" applyNumberFormat="1">
      <alignment horizontal="right" vertical="center" wrapText="1"/>
      <protection locked="0"/>
    </xf>
    <xf numFmtId="49" fontId="0" fillId="0" borderId="12" xfId="0" applyFont="1" applyBorder="1" applyNumberFormat="1">
      <alignment vertical="center" wrapText="1"/>
    </xf>
    <xf numFmtId="178" fontId="22" fillId="0" borderId="12" xfId="0" applyFont="1" applyBorder="1" applyNumberFormat="1">
      <alignment horizontal="right" vertical="center" wrapText="1"/>
    </xf>
    <xf numFmtId="49" fontId="0" fillId="0" borderId="12" xfId="0" applyFont="1" applyBorder="1" applyNumberFormat="1">
      <alignment horizontal="left" vertical="center" wrapText="1" indent="1"/>
    </xf>
    <xf numFmtId="49" fontId="0" fillId="0" borderId="17" xfId="0" applyFont="1" applyBorder="1" applyNumberFormat="1">
      <alignment horizontal="left" vertical="center" wrapText="1"/>
    </xf>
    <xf numFmtId="49" fontId="0" fillId="56" borderId="0" xfId="0" applyFont="1" applyFill="1" applyNumberFormat="1">
      <alignment vertical="center" wrapText="1"/>
    </xf>
    <xf numFmtId="1" fontId="22" fillId="39" borderId="63" xfId="0" applyFont="1" applyFill="1" applyBorder="1" applyNumberFormat="1">
      <alignment vertical="center" wrapText="1"/>
      <protection locked="0"/>
    </xf>
    <xf numFmtId="1" fontId="22" fillId="39" borderId="17" xfId="0" applyFont="1" applyFill="1" applyBorder="1" applyNumberFormat="1">
      <alignment vertical="center" wrapText="1"/>
      <protection locked="0"/>
    </xf>
    <xf numFmtId="1" fontId="22" fillId="39" borderId="36" xfId="0" applyFont="1" applyFill="1" applyBorder="1" applyNumberFormat="1">
      <alignment vertical="center" wrapText="1"/>
      <protection locked="0"/>
    </xf>
    <xf numFmtId="1" fontId="22" fillId="39" borderId="23" xfId="0" applyFont="1" applyFill="1" applyBorder="1" applyNumberFormat="1">
      <alignment vertical="center" wrapText="1"/>
      <protection locked="0"/>
    </xf>
    <xf numFmtId="0" fontId="0" fillId="36" borderId="12" xfId="0" applyFont="1" applyFill="1" applyBorder="1">
      <alignment horizontal="left" vertical="center" wrapText="1" indent="2"/>
      <protection locked="0"/>
    </xf>
    <xf numFmtId="0" fontId="22" fillId="0" borderId="14" xfId="0" applyFont="1" applyBorder="1">
      <alignment vertical="center"/>
    </xf>
    <xf numFmtId="0" fontId="0" fillId="0" borderId="13" xfId="0" applyFont="1" applyBorder="1">
      <alignment vertical="center"/>
    </xf>
    <xf numFmtId="49" fontId="0" fillId="0" borderId="12" xfId="0" applyFont="1" applyBorder="1" applyNumberFormat="1">
      <alignment vertical="top"/>
    </xf>
    <xf numFmtId="49" fontId="31" fillId="47" borderId="0" xfId="0" applyFont="1" applyFill="1" applyNumberFormat="1">
      <alignment horizontal="center" vertical="center"/>
    </xf>
    <xf numFmtId="0" fontId="0" fillId="0" borderId="12" xfId="0" applyFont="1" applyBorder="1">
      <alignment vertical="center"/>
    </xf>
    <xf numFmtId="0" fontId="102" fillId="0" borderId="0" xfId="0" applyFont="1">
      <alignment vertical="center" wrapText="1"/>
    </xf>
    <xf numFmtId="0" fontId="102" fillId="0" borderId="0" xfId="0" applyFont="1">
      <alignment vertical="center"/>
    </xf>
    <xf numFmtId="0" fontId="45" fillId="57" borderId="64" xfId="0" applyFont="1" applyFill="1" applyBorder="1">
      <alignment horizontal="center" vertical="center" wrapText="1"/>
    </xf>
    <xf numFmtId="0" fontId="45" fillId="57" borderId="65" xfId="0" applyFont="1" applyFill="1" applyBorder="1">
      <alignment horizontal="center" vertical="center" wrapText="1"/>
    </xf>
    <xf numFmtId="0" fontId="45" fillId="57" borderId="66"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8"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9" xfId="0" applyFont="1" applyBorder="1" applyNumberFormat="1">
      <alignment horizontal="center" vertical="center" wrapText="1"/>
    </xf>
    <xf numFmtId="0" fontId="22" fillId="0" borderId="69" xfId="0" applyFont="1" applyBorder="1">
      <alignment horizontal="center" vertical="center" wrapText="1"/>
    </xf>
    <xf numFmtId="49" fontId="35" fillId="0" borderId="70" xfId="0" applyFont="1" applyBorder="1" applyNumberFormat="1">
      <alignment horizontal="center" vertical="center" wrapText="1"/>
    </xf>
    <xf numFmtId="49" fontId="35" fillId="0" borderId="71"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2" xfId="0" applyFont="1" applyBorder="1">
      <alignment horizontal="center" vertical="center" wrapText="1"/>
    </xf>
    <xf numFmtId="0" fontId="22" fillId="0" borderId="73"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8"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8" xfId="0" applyFont="1" applyBorder="1">
      <alignment horizontal="center" vertical="center"/>
    </xf>
    <xf numFmtId="0" fontId="0" fillId="0" borderId="12" xfId="0" applyFont="1" applyBorder="1">
      <alignment horizontal="center" vertical="center" wrapText="1"/>
    </xf>
    <xf numFmtId="0" fontId="22" fillId="0" borderId="74"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1"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5"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0" fillId="35" borderId="14" xfId="0" applyFont="1" applyFill="1" applyBorder="1">
      <alignment horizontal="right" vertical="center" wrapText="1" indent="1"/>
    </xf>
    <xf numFmtId="0" fontId="0" fillId="35" borderId="13" xfId="0" applyFont="1" applyFill="1" applyBorder="1">
      <alignment horizontal="right" vertical="center" wrapText="1" indent="1"/>
    </xf>
    <xf numFmtId="179" fontId="0" fillId="36" borderId="13" xfId="0" applyFont="1" applyFill="1" applyBorder="1" applyNumberFormat="1">
      <alignment horizontal="left" vertical="center" wrapText="1"/>
      <protection locked="0"/>
    </xf>
    <xf numFmtId="179" fontId="0" fillId="36" borderId="14" xfId="0" applyFont="1" applyFill="1" applyBorder="1" applyNumberFormat="1">
      <alignment horizontal="left" vertical="center" wrapText="1"/>
      <protection locked="0"/>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179" fontId="0" fillId="39" borderId="11" xfId="0" applyFont="1" applyFill="1" applyBorder="1" applyNumberFormat="1">
      <alignment horizontal="left" vertical="center" wrapText="1" indent="1"/>
      <protection locked="0"/>
    </xf>
    <xf numFmtId="49" fontId="75" fillId="39" borderId="12" xfId="0" applyFont="1" applyFill="1" applyBorder="1" applyNumberFormat="1">
      <alignment horizontal="left" vertical="center" wrapText="1" indent="1"/>
      <protection locked="0"/>
    </xf>
    <xf numFmtId="0" fontId="75" fillId="40" borderId="12" xfId="0" applyFont="1" applyFill="1" applyBorder="1">
      <alignment horizontal="left" vertical="center" wrapText="1" indent="1"/>
      <protection locked="0"/>
    </xf>
    <xf numFmtId="0" fontId="75" fillId="40" borderId="12" xfId="0" applyFont="1" applyFill="1" applyBorder="1">
      <alignment horizontal="left" vertical="top" indent="1"/>
      <protection locked="0"/>
    </xf>
    <xf numFmtId="49" fontId="0" fillId="0" borderId="12" xfId="0" applyFont="1" applyBorder="1" applyNumberFormat="1">
      <alignment horizontal="left" vertical="center" wrapText="1"/>
    </xf>
    <xf numFmtId="179" fontId="0" fillId="0" borderId="12" xfId="0" applyFont="1" applyBorder="1" applyNumberFormat="1">
      <alignment horizontal="left" vertical="center" wrapText="1" inden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49" fontId="22" fillId="35"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1" fontId="22" fillId="36" borderId="12" xfId="0" applyFont="1" applyFill="1" applyBorder="1" applyNumberFormat="1">
      <alignment horizontal="center" vertical="center" wrapText="1"/>
      <protection locked="0"/>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1" fontId="22" fillId="36" borderId="63" xfId="0" applyFont="1" applyFill="1" applyBorder="1" applyNumberFormat="1">
      <alignment vertical="center" wrapText="1"/>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0" fontId="29" fillId="0" borderId="0" xfId="0" applyFont="1"/>
    <xf numFmtId="1" fontId="22" fillId="39" borderId="12" xfId="0" applyFont="1" applyFill="1" applyBorder="1" applyNumberFormat="1">
      <alignment horizontal="center" vertical="center" wrapText="1"/>
      <protection locked="0"/>
    </xf>
    <xf numFmtId="1" fontId="22" fillId="36" borderId="12" xfId="0" applyFont="1" applyFill="1" applyBorder="1" applyNumberFormat="1">
      <alignment horizontal="center" vertical="center" wrapText="1"/>
      <protection locked="0"/>
    </xf>
    <xf numFmtId="1" fontId="22" fillId="39" borderId="12" xfId="0" applyFont="1" applyFill="1" applyBorder="1" applyNumberFormat="1">
      <alignment horizontal="center" vertical="center" wrapText="1"/>
      <protection locked="0"/>
    </xf>
    <xf numFmtId="1" fontId="22" fillId="39" borderId="63" xfId="0" applyFont="1" applyFill="1" applyBorder="1" applyNumberFormat="1">
      <alignment vertical="center" wrapText="1"/>
      <protection locked="0"/>
    </xf>
    <xf numFmtId="1" fontId="22" fillId="39" borderId="63" xfId="0" applyFont="1" applyFill="1" applyBorder="1" applyNumberFormat="1">
      <alignment vertical="center" wrapText="1"/>
      <protection locked="0"/>
    </xf>
    <xf numFmtId="1" fontId="22" fillId="36" borderId="63" xfId="0" applyFont="1" applyFill="1" applyBorder="1" applyNumberFormat="1">
      <alignmen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0" fillId="40" borderId="36" xfId="0" applyFont="1" applyFill="1" applyBorder="1" applyNumberFormat="1">
      <alignment vertical="top"/>
    </xf>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16</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76200</xdr:rowOff>
    </xdr:from>
    <xdr:to>
      <xdr:col>4</xdr:col>
      <xdr:colOff>314515</xdr:colOff>
      <xdr:row>30</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hyperlink" Target="https://portal.eias.ru/Portal/DownloadPage.aspx?type=12&amp;guid=4f23d212-4ade-473d-9866-306c0648052c" TargetMode="External"/><Relationship Id="rId2" Type="http://schemas.openxmlformats.org/officeDocument/2006/relationships/hyperlink" Target="https://portal.eias.ru/Portal/DownloadPage.aspx?type=12&amp;guid=4f23d212-4ade-473d-9866-306c0648052c" TargetMode="External"/><Relationship Id="rId3" Type="http://schemas.openxmlformats.org/officeDocument/2006/relationships/hyperlink" Target="https://portal.eias.ru/Portal/DownloadPage.aspx?type=12&amp;guid=4f23d212-4ade-473d-9866-306c0648052c" TargetMode="External"/><Relationship Id="rId4" Type="http://schemas.openxmlformats.org/officeDocument/2006/relationships/hyperlink" Target="https://portal.eias.ru/Portal/DownloadPage.aspx?type=12&amp;guid=4f23d212-4ade-473d-9866-306c0648052c" TargetMode="Externa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hyperlink" Target="&apos;&#1055;&#1086;&#1082;&#1072;&#1079;&#1072;&#1090;&#1077;&#1083;&#1080; &#1050;&#1053;&#1069;&apos;!$J$19" TargetMode="External"/><Relationship Id="rId2" Type="http://schemas.openxmlformats.org/officeDocument/2006/relationships/hyperlink" Target="&apos;&#1055;&#1086;&#1082;&#1072;&#1079;&#1072;&#1090;&#1077;&#1083;&#1080; &#1050;&#1053;&#1069;&apos;!$L$19" TargetMode="External"/><Relationship Id="rId3" Type="http://schemas.openxmlformats.org/officeDocument/2006/relationships/hyperlink" Target="&apos;&#1055;&#1086;&#1082;&#1072;&#1079;&#1072;&#1090;&#1077;&#1083;&#1080; &#1050;&#1053;&#1069;&apos;!$N$19"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F8EFD7-F343-C10C-5815-0.5CBFBE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920" width="5.421875" customWidth="1"/>
    <col min="2" max="2" style="2920" width="9.140625" customWidth="1"/>
    <col min="3" max="3" style="2920" width="16.421875" customWidth="1"/>
    <col min="4" max="25" style="2920" width="6.28125" customWidth="1"/>
    <col min="26" max="28" style="2920" width="11.00390625"/>
  </cols>
  <sheetData>
    <row customHeight="1" ht="15.75">
      <c r="A1" s="1708"/>
      <c r="B1" s="1709"/>
      <c r="C1" s="1709"/>
      <c r="D1" s="1709"/>
      <c r="E1" s="1709"/>
      <c r="F1" s="1709"/>
      <c r="G1" s="1709"/>
      <c r="H1" s="1709"/>
      <c r="I1" s="1709"/>
      <c r="J1" s="1709"/>
      <c r="K1" s="1709"/>
      <c r="L1" s="1709"/>
      <c r="M1" s="1709"/>
      <c r="N1" s="1709"/>
      <c r="O1" s="1709"/>
      <c r="P1" s="1709"/>
      <c r="Q1" s="1709"/>
      <c r="R1" s="1709"/>
      <c r="S1" s="1709"/>
      <c r="T1" s="1709"/>
      <c r="U1" s="1709"/>
      <c r="V1" s="1709"/>
      <c r="W1" s="1709"/>
      <c r="X1" s="1709"/>
      <c r="Y1" s="1710"/>
      <c r="Z1" s="1709"/>
      <c r="AA1" s="1711" t="s">
        <v>0</v>
      </c>
      <c r="AB1" s="1709"/>
    </row>
    <row customHeight="1" ht="17.25">
      <c r="A2" s="1709"/>
      <c r="B2" s="2105" t="s">
        <v>1</v>
      </c>
      <c r="C2" s="2105"/>
      <c r="D2" s="2105"/>
      <c r="E2" s="2105"/>
      <c r="F2" s="2105"/>
      <c r="G2" s="2105"/>
      <c r="H2" s="2105"/>
      <c r="I2" s="2105"/>
      <c r="J2" s="2105"/>
      <c r="K2" s="2105"/>
      <c r="L2" s="2105"/>
      <c r="M2" s="2105"/>
      <c r="N2" s="2105"/>
      <c r="O2" s="2105"/>
      <c r="P2" s="2105"/>
      <c r="Q2" s="1713"/>
      <c r="R2" s="1713"/>
      <c r="S2" s="1713"/>
      <c r="T2" s="1713"/>
      <c r="U2" s="1713"/>
      <c r="V2" s="1714"/>
      <c r="W2" s="1713"/>
      <c r="X2" s="1713"/>
      <c r="Y2" s="1710"/>
      <c r="Z2" s="1709"/>
      <c r="AA2" s="1711"/>
      <c r="AB2" s="1709"/>
    </row>
    <row customHeight="1" ht="15.75">
      <c r="A3" s="1709"/>
      <c r="B3" s="2106" t="s">
        <v>2</v>
      </c>
      <c r="C3" s="2106"/>
      <c r="D3" s="2106"/>
      <c r="E3" s="2106"/>
      <c r="F3" s="2106"/>
      <c r="G3" s="2106"/>
      <c r="H3" s="2106"/>
      <c r="I3" s="2106"/>
      <c r="J3" s="2106"/>
      <c r="K3" s="2106"/>
      <c r="L3" s="2106"/>
      <c r="M3" s="2106"/>
      <c r="N3" s="2106"/>
      <c r="O3" s="2106"/>
      <c r="P3" s="2106"/>
      <c r="Q3" s="1714"/>
      <c r="R3" s="1714"/>
      <c r="S3" s="1713"/>
      <c r="T3" s="1713"/>
      <c r="U3" s="1713"/>
      <c r="V3" s="1714"/>
      <c r="W3" s="1714"/>
      <c r="X3" s="1714"/>
      <c r="Y3" s="1714"/>
      <c r="Z3" s="1709"/>
      <c r="AA3" s="1711"/>
      <c r="AB3" s="1709"/>
    </row>
    <row customHeight="1" ht="17.25">
      <c r="A4" s="1709"/>
      <c r="B4" s="1715"/>
      <c r="C4" s="1709"/>
      <c r="D4" s="1714"/>
      <c r="E4" s="1714"/>
      <c r="F4" s="1714"/>
      <c r="G4" s="1714"/>
      <c r="H4" s="1714"/>
      <c r="I4" s="1714"/>
      <c r="J4" s="1714"/>
      <c r="K4" s="1714"/>
      <c r="L4" s="1714"/>
      <c r="M4" s="1714"/>
      <c r="N4" s="1714"/>
      <c r="O4" s="1714"/>
      <c r="P4" s="1714"/>
      <c r="Q4" s="1714"/>
      <c r="R4" s="1714"/>
      <c r="S4" s="1714"/>
      <c r="T4" s="1714"/>
      <c r="U4" s="1714"/>
      <c r="V4" s="1714"/>
      <c r="W4" s="1714"/>
      <c r="X4" s="1714"/>
      <c r="Y4" s="1714"/>
      <c r="Z4" s="1709"/>
      <c r="AA4" s="1711"/>
      <c r="AB4" s="1709"/>
    </row>
    <row customHeight="1" ht="22.5">
      <c r="A5" s="1716"/>
      <c r="B5" s="2107"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2108"/>
      <c r="D5" s="2108"/>
      <c r="E5" s="2108"/>
      <c r="F5" s="2108"/>
      <c r="G5" s="2108"/>
      <c r="H5" s="2108"/>
      <c r="I5" s="2108"/>
      <c r="J5" s="2108"/>
      <c r="K5" s="2108"/>
      <c r="L5" s="2108"/>
      <c r="M5" s="2108"/>
      <c r="N5" s="2108"/>
      <c r="O5" s="2108"/>
      <c r="P5" s="2108"/>
      <c r="Q5" s="2108"/>
      <c r="R5" s="2108"/>
      <c r="S5" s="2108"/>
      <c r="T5" s="2108"/>
      <c r="U5" s="2108"/>
      <c r="V5" s="2108"/>
      <c r="W5" s="2108"/>
      <c r="X5" s="2108"/>
      <c r="Y5" s="2109"/>
      <c r="Z5" s="1716"/>
      <c r="AA5" s="1711"/>
      <c r="AB5" s="1716"/>
    </row>
    <row customHeight="1" ht="15">
      <c r="A6" s="1717"/>
      <c r="B6" s="2110" t="s">
        <v>3</v>
      </c>
      <c r="C6" s="2111"/>
      <c r="D6" s="1718"/>
      <c r="E6" s="1718"/>
      <c r="F6" s="1718"/>
      <c r="G6" s="1718"/>
      <c r="H6" s="1718"/>
      <c r="I6" s="1718"/>
      <c r="J6" s="1718"/>
      <c r="K6" s="1718"/>
      <c r="L6" s="1718"/>
      <c r="M6" s="1718"/>
      <c r="N6" s="1718"/>
      <c r="O6" s="1718"/>
      <c r="P6" s="1718"/>
      <c r="Q6" s="1718"/>
      <c r="R6" s="1718"/>
      <c r="S6" s="1718"/>
      <c r="T6" s="1718"/>
      <c r="U6" s="1718"/>
      <c r="V6" s="1718"/>
      <c r="W6" s="1718"/>
      <c r="X6" s="1718"/>
      <c r="Y6" s="1719"/>
      <c r="Z6" s="1720"/>
      <c r="AA6" s="1721"/>
      <c r="AB6" s="1721"/>
    </row>
    <row customHeight="1" ht="15">
      <c r="A7" s="1717"/>
      <c r="B7" s="2110"/>
      <c r="C7" s="2111"/>
      <c r="D7" s="1718"/>
      <c r="E7" s="1718"/>
      <c r="F7" s="1722"/>
      <c r="G7" s="1722"/>
      <c r="H7" s="1722"/>
      <c r="I7" s="1722"/>
      <c r="J7" s="1722"/>
      <c r="K7" s="1722"/>
      <c r="L7" s="1722"/>
      <c r="M7" s="1722"/>
      <c r="N7" s="1722"/>
      <c r="O7" s="1718"/>
      <c r="P7" s="1722"/>
      <c r="Q7" s="1722"/>
      <c r="R7" s="1722"/>
      <c r="S7" s="1722"/>
      <c r="T7" s="1722"/>
      <c r="U7" s="1722"/>
      <c r="V7" s="1722"/>
      <c r="W7" s="1722"/>
      <c r="X7" s="1722"/>
      <c r="Y7" s="1719"/>
      <c r="Z7" s="1720"/>
      <c r="AA7" s="1721"/>
      <c r="AB7" s="1721"/>
    </row>
    <row customHeight="1" ht="15">
      <c r="A8" s="1717"/>
      <c r="B8" s="2110"/>
      <c r="C8" s="2111"/>
      <c r="D8" s="1723"/>
      <c r="E8" s="1724" t="s">
        <v>4</v>
      </c>
      <c r="F8" s="2113" t="s">
        <v>5</v>
      </c>
      <c r="G8" s="2114"/>
      <c r="H8" s="2114"/>
      <c r="I8" s="2114"/>
      <c r="J8" s="2114"/>
      <c r="K8" s="2114"/>
      <c r="L8" s="2114"/>
      <c r="M8" s="2114"/>
      <c r="N8" s="1723"/>
      <c r="O8" s="1725" t="s">
        <v>4</v>
      </c>
      <c r="P8" s="2115" t="s">
        <v>6</v>
      </c>
      <c r="Q8" s="2116"/>
      <c r="R8" s="2116"/>
      <c r="S8" s="2116"/>
      <c r="T8" s="2116"/>
      <c r="U8" s="2116"/>
      <c r="V8" s="2116"/>
      <c r="W8" s="2116"/>
      <c r="X8" s="2116"/>
      <c r="Y8" s="1719"/>
      <c r="Z8" s="1720"/>
      <c r="AA8" s="1721"/>
      <c r="AB8" s="1721"/>
    </row>
    <row customHeight="1" ht="15">
      <c r="A9" s="1717"/>
      <c r="B9" s="2110"/>
      <c r="C9" s="2111"/>
      <c r="D9" s="1723"/>
      <c r="E9" s="1726" t="s">
        <v>4</v>
      </c>
      <c r="F9" s="2113" t="s">
        <v>7</v>
      </c>
      <c r="G9" s="2114"/>
      <c r="H9" s="2114"/>
      <c r="I9" s="2114"/>
      <c r="J9" s="2114"/>
      <c r="K9" s="2114"/>
      <c r="L9" s="2114"/>
      <c r="M9" s="2114"/>
      <c r="N9" s="1723"/>
      <c r="O9" s="1727" t="s">
        <v>4</v>
      </c>
      <c r="P9" s="2115" t="s">
        <v>8</v>
      </c>
      <c r="Q9" s="2116"/>
      <c r="R9" s="2116"/>
      <c r="S9" s="2116"/>
      <c r="T9" s="2116"/>
      <c r="U9" s="2116"/>
      <c r="V9" s="2116"/>
      <c r="W9" s="2116"/>
      <c r="X9" s="2116"/>
      <c r="Y9" s="1719"/>
      <c r="Z9" s="1720"/>
      <c r="AA9" s="1721"/>
      <c r="AB9" s="1721"/>
    </row>
    <row customHeight="1" ht="30">
      <c r="A10" s="1717"/>
      <c r="B10" s="2110"/>
      <c r="C10" s="2112"/>
      <c r="D10" s="1728"/>
      <c r="E10" s="1729"/>
      <c r="F10" s="1722"/>
      <c r="G10" s="1722"/>
      <c r="H10" s="1722"/>
      <c r="I10" s="1722"/>
      <c r="J10" s="1722"/>
      <c r="K10" s="1722"/>
      <c r="L10" s="1722"/>
      <c r="M10" s="1722"/>
      <c r="N10" s="1722"/>
      <c r="O10" s="1729"/>
      <c r="P10" s="1722"/>
      <c r="Q10" s="1722"/>
      <c r="R10" s="1722"/>
      <c r="S10" s="1722"/>
      <c r="T10" s="1722"/>
      <c r="U10" s="1722"/>
      <c r="V10" s="1722"/>
      <c r="W10" s="1722"/>
      <c r="X10" s="1722"/>
      <c r="Y10" s="1719"/>
      <c r="Z10" s="1720"/>
      <c r="AA10" s="1721"/>
      <c r="AB10" s="1721"/>
    </row>
    <row customHeight="1" ht="19.5">
      <c r="A11" s="1717"/>
      <c r="B11" s="2117" t="s">
        <v>9</v>
      </c>
      <c r="C11" s="2118"/>
      <c r="D11" s="1723"/>
      <c r="E11" s="1730"/>
      <c r="F11" s="1730"/>
      <c r="G11" s="1730"/>
      <c r="H11" s="1730"/>
      <c r="I11" s="1730"/>
      <c r="J11" s="1730"/>
      <c r="K11" s="1730"/>
      <c r="L11" s="1730"/>
      <c r="M11" s="1730"/>
      <c r="N11" s="1730"/>
      <c r="O11" s="1730"/>
      <c r="P11" s="1730"/>
      <c r="Q11" s="1730"/>
      <c r="R11" s="1730"/>
      <c r="S11" s="1730"/>
      <c r="T11" s="1730"/>
      <c r="U11" s="1730"/>
      <c r="V11" s="1730"/>
      <c r="W11" s="1730"/>
      <c r="X11" s="1730"/>
      <c r="Y11" s="1719"/>
      <c r="Z11" s="1720"/>
      <c r="AA11" s="1721"/>
      <c r="AB11" s="1721"/>
    </row>
    <row customHeight="1" ht="69">
      <c r="A12" s="1717"/>
      <c r="B12" s="2110"/>
      <c r="C12" s="2112"/>
      <c r="D12" s="1731"/>
      <c r="E12" s="2114" t="s">
        <v>10</v>
      </c>
      <c r="F12" s="2114"/>
      <c r="G12" s="2114"/>
      <c r="H12" s="2114"/>
      <c r="I12" s="2114"/>
      <c r="J12" s="2114"/>
      <c r="K12" s="2114"/>
      <c r="L12" s="2114"/>
      <c r="M12" s="2114"/>
      <c r="N12" s="2114"/>
      <c r="O12" s="2114"/>
      <c r="P12" s="2114"/>
      <c r="Q12" s="2114"/>
      <c r="R12" s="2114"/>
      <c r="S12" s="2114"/>
      <c r="T12" s="2114"/>
      <c r="U12" s="2114"/>
      <c r="V12" s="2114"/>
      <c r="W12" s="2114"/>
      <c r="X12" s="2114"/>
      <c r="Y12" s="1719"/>
      <c r="Z12" s="1720"/>
      <c r="AA12" s="1721"/>
      <c r="AB12" s="1721"/>
    </row>
    <row customHeight="1" ht="15">
      <c r="A13" s="1717"/>
      <c r="B13" s="2117" t="s">
        <v>11</v>
      </c>
      <c r="C13" s="2118"/>
      <c r="D13" s="1718"/>
      <c r="E13" s="1730"/>
      <c r="F13" s="1730"/>
      <c r="G13" s="1730"/>
      <c r="H13" s="1730"/>
      <c r="I13" s="1730"/>
      <c r="J13" s="1730"/>
      <c r="K13" s="1730"/>
      <c r="L13" s="1730"/>
      <c r="M13" s="1730"/>
      <c r="N13" s="1730"/>
      <c r="O13" s="1730"/>
      <c r="P13" s="1730"/>
      <c r="Q13" s="1730"/>
      <c r="R13" s="1730"/>
      <c r="S13" s="1730"/>
      <c r="T13" s="1730"/>
      <c r="U13" s="1730"/>
      <c r="V13" s="1730"/>
      <c r="W13" s="1730"/>
      <c r="X13" s="1730"/>
      <c r="Y13" s="1719"/>
      <c r="Z13" s="1720"/>
      <c r="AA13" s="1721"/>
      <c r="AB13" s="1721"/>
    </row>
    <row customHeight="1" ht="57">
      <c r="A14" s="1717"/>
      <c r="B14" s="2110"/>
      <c r="C14" s="2111"/>
      <c r="D14" s="1723"/>
      <c r="E14" s="2121" t="s">
        <v>12</v>
      </c>
      <c r="F14" s="2121"/>
      <c r="G14" s="2121"/>
      <c r="H14" s="2121"/>
      <c r="I14" s="2121"/>
      <c r="J14" s="2121"/>
      <c r="K14" s="2121"/>
      <c r="L14" s="2121"/>
      <c r="M14" s="2121"/>
      <c r="N14" s="2121"/>
      <c r="O14" s="2121"/>
      <c r="P14" s="2121"/>
      <c r="Q14" s="2121"/>
      <c r="R14" s="2121"/>
      <c r="S14" s="2121"/>
      <c r="T14" s="2121"/>
      <c r="U14" s="2121"/>
      <c r="V14" s="2121"/>
      <c r="W14" s="2121"/>
      <c r="X14" s="2121"/>
      <c r="Y14" s="1719"/>
      <c r="Z14" s="1720"/>
      <c r="AA14" s="1721"/>
      <c r="AB14" s="1721"/>
    </row>
    <row customHeight="1" ht="16.5">
      <c r="A15" s="1717"/>
      <c r="B15" s="2119"/>
      <c r="C15" s="2120"/>
      <c r="D15" s="1732"/>
      <c r="E15" s="1733"/>
      <c r="F15" s="1733"/>
      <c r="G15" s="1733"/>
      <c r="H15" s="1733"/>
      <c r="I15" s="1733"/>
      <c r="J15" s="1733"/>
      <c r="K15" s="1733"/>
      <c r="L15" s="1733"/>
      <c r="M15" s="1733"/>
      <c r="N15" s="1733"/>
      <c r="O15" s="1733"/>
      <c r="P15" s="1733"/>
      <c r="Q15" s="1733"/>
      <c r="R15" s="1733"/>
      <c r="S15" s="1733"/>
      <c r="T15" s="1733"/>
      <c r="U15" s="1733"/>
      <c r="V15" s="1733"/>
      <c r="W15" s="1733"/>
      <c r="X15" s="1733"/>
      <c r="Y15" s="1734"/>
      <c r="Z15" s="1720"/>
      <c r="AA15" s="1735"/>
      <c r="AB15" s="1721"/>
    </row>
    <row customHeight="1" ht="95.25">
      <c r="A16" s="1709"/>
      <c r="B16" s="2121"/>
      <c r="C16" s="2122"/>
      <c r="D16" s="2122"/>
      <c r="E16" s="2122"/>
      <c r="F16" s="2122"/>
      <c r="G16" s="2122"/>
      <c r="H16" s="2122"/>
      <c r="I16" s="2122"/>
      <c r="J16" s="2122"/>
      <c r="K16" s="2122"/>
      <c r="L16" s="2122"/>
      <c r="M16" s="2122"/>
      <c r="N16" s="2122"/>
      <c r="O16" s="2122"/>
      <c r="P16" s="2122"/>
      <c r="Q16" s="2122"/>
      <c r="R16" s="2122"/>
      <c r="S16" s="2122"/>
      <c r="T16" s="2122"/>
      <c r="U16" s="2122"/>
      <c r="V16" s="2122"/>
      <c r="W16" s="2122"/>
      <c r="X16" s="2122"/>
      <c r="Y16" s="2122"/>
      <c r="Z16" s="1709"/>
      <c r="AA16" s="1711"/>
      <c r="AB16" s="1709"/>
    </row>
    <row customHeight="1" ht="14.25">
      <c r="A17" s="1709"/>
      <c r="B17" s="1709"/>
      <c r="C17" s="1709"/>
      <c r="D17" s="1709"/>
      <c r="E17" s="1709"/>
      <c r="F17" s="1709"/>
      <c r="G17" s="1709"/>
      <c r="H17" s="1709"/>
      <c r="I17" s="1709"/>
      <c r="J17" s="1709"/>
      <c r="K17" s="1709"/>
      <c r="L17" s="1709"/>
      <c r="M17" s="1709"/>
      <c r="N17" s="1709"/>
      <c r="O17" s="1709"/>
      <c r="P17" s="1709"/>
      <c r="Q17" s="1709"/>
      <c r="R17" s="1709"/>
      <c r="S17" s="1709"/>
      <c r="T17" s="1709"/>
      <c r="U17" s="1709"/>
      <c r="V17" s="1709"/>
      <c r="W17" s="1709"/>
      <c r="X17" s="1709"/>
      <c r="Y17" s="1710"/>
      <c r="Z17" s="1709"/>
      <c r="AA17" s="1711"/>
      <c r="AB17" s="1709"/>
    </row>
    <row customHeight="1" ht="14.25">
      <c r="A18" s="1709"/>
      <c r="B18" s="1709"/>
      <c r="C18" s="1709"/>
      <c r="D18" s="1709"/>
      <c r="E18" s="1709"/>
      <c r="F18" s="1709"/>
      <c r="G18" s="1709"/>
      <c r="H18" s="1709"/>
      <c r="I18" s="1709"/>
      <c r="J18" s="1709"/>
      <c r="K18" s="1709"/>
      <c r="L18" s="1709"/>
      <c r="M18" s="1709"/>
      <c r="N18" s="1709"/>
      <c r="O18" s="1709"/>
      <c r="P18" s="1709"/>
      <c r="Q18" s="1709"/>
      <c r="R18" s="1709"/>
      <c r="S18" s="1709"/>
      <c r="T18" s="1709"/>
      <c r="U18" s="1709"/>
      <c r="V18" s="1709"/>
      <c r="W18" s="1709"/>
      <c r="X18" s="1709"/>
      <c r="Y18" s="1710"/>
      <c r="Z18" s="1709"/>
      <c r="AA18" s="1711"/>
      <c r="AB18" s="1709"/>
    </row>
    <row customHeight="1" ht="14.25">
      <c r="A19" s="1709"/>
      <c r="B19" s="1709"/>
      <c r="C19" s="1709"/>
      <c r="D19" s="1709"/>
      <c r="E19" s="1709"/>
      <c r="F19" s="1709"/>
      <c r="G19" s="1709"/>
      <c r="H19" s="1709"/>
      <c r="I19" s="1709"/>
      <c r="J19" s="1709"/>
      <c r="K19" s="1709"/>
      <c r="L19" s="1709"/>
      <c r="M19" s="1709"/>
      <c r="N19" s="1709"/>
      <c r="O19" s="1709"/>
      <c r="P19" s="1709"/>
      <c r="Q19" s="1709"/>
      <c r="R19" s="1709"/>
      <c r="S19" s="1709"/>
      <c r="T19" s="1709"/>
      <c r="U19" s="1709"/>
      <c r="V19" s="1709"/>
      <c r="W19" s="1709"/>
      <c r="X19" s="1709"/>
      <c r="Y19" s="1710"/>
      <c r="Z19" s="1709"/>
      <c r="AA19" s="1711"/>
      <c r="AB19" s="1709"/>
    </row>
    <row customHeight="1" ht="14.25">
      <c r="A20" s="1709"/>
      <c r="B20" s="1709"/>
      <c r="C20" s="1709"/>
      <c r="D20" s="1709"/>
      <c r="E20" s="1709"/>
      <c r="F20" s="1709"/>
      <c r="G20" s="1709"/>
      <c r="H20" s="1709"/>
      <c r="I20" s="1709"/>
      <c r="J20" s="1709"/>
      <c r="K20" s="1709"/>
      <c r="L20" s="1709"/>
      <c r="M20" s="1709"/>
      <c r="N20" s="1709"/>
      <c r="O20" s="1709"/>
      <c r="P20" s="1709"/>
      <c r="Q20" s="1709"/>
      <c r="R20" s="1709"/>
      <c r="S20" s="1709"/>
      <c r="T20" s="1709"/>
      <c r="U20" s="1709"/>
      <c r="V20" s="1709"/>
      <c r="W20" s="1709"/>
      <c r="X20" s="1709"/>
      <c r="Y20" s="1710"/>
      <c r="Z20" s="1709"/>
      <c r="AA20" s="1711"/>
      <c r="AB20" s="1709"/>
    </row>
    <row customHeight="1" ht="14.25">
      <c r="A21" s="1709"/>
      <c r="B21" s="1709"/>
      <c r="C21" s="1709"/>
      <c r="D21" s="1709"/>
      <c r="E21" s="1709"/>
      <c r="F21" s="1709"/>
      <c r="G21" s="1709"/>
      <c r="H21" s="1709"/>
      <c r="I21" s="1709"/>
      <c r="J21" s="1709"/>
      <c r="K21" s="1709"/>
      <c r="L21" s="1709"/>
      <c r="M21" s="1709"/>
      <c r="N21" s="1709"/>
      <c r="O21" s="1709"/>
      <c r="P21" s="1709"/>
      <c r="Q21" s="1709"/>
      <c r="R21" s="1709"/>
      <c r="S21" s="1709"/>
      <c r="T21" s="1709"/>
      <c r="U21" s="1709"/>
      <c r="V21" s="1709"/>
      <c r="W21" s="1709"/>
      <c r="X21" s="1709"/>
      <c r="Y21" s="1710"/>
      <c r="Z21" s="1709"/>
      <c r="AA21" s="1711"/>
      <c r="AB21" s="1709"/>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C47A95-F996-727F-655E-0.E1FAC9A7}"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41" width="9.140625" hidden="1" customWidth="1"/>
    <col min="2" max="3" style="1644" width="9.140625" hidden="1" customWidth="1"/>
    <col min="4" max="4" style="1848" width="3.00390625" customWidth="1"/>
    <col min="5" max="5" style="1644" width="6.00390625" customWidth="1"/>
    <col min="6" max="6" style="1644" width="1.7109375" hidden="1" customWidth="1"/>
    <col min="7" max="8" style="1644" width="30.00390625" customWidth="1"/>
    <col min="9" max="9" style="1644" width="8.00390625" customWidth="1"/>
    <col min="10" max="10" style="1644" width="12.140625" customWidth="1"/>
    <col min="11" max="11" style="1644" width="46.00390625" customWidth="1"/>
    <col min="12" max="12" style="1644" width="100.00390625" customWidth="1"/>
    <col min="13" max="13" style="1827" width="7.00390625" customWidth="1"/>
    <col min="14" max="22" style="1644" width="10.00390625" customWidth="1"/>
    <col min="23" max="23" style="1644" width="10.57421875" hidden="1"/>
  </cols>
  <sheetData>
    <row s="1651" customFormat="1" customHeight="1" ht="5.25" hidden="1">
      <c r="C1" s="520"/>
      <c r="D1" s="503"/>
      <c r="F1" s="520"/>
      <c r="G1" s="498" t="s">
        <v>84</v>
      </c>
      <c r="H1" s="498" t="s">
        <v>85</v>
      </c>
      <c r="I1" s="498" t="s">
        <v>86</v>
      </c>
      <c r="P1" s="498" t="s">
        <v>84</v>
      </c>
      <c r="Q1" s="498" t="s">
        <v>85</v>
      </c>
      <c r="R1" s="498" t="s">
        <v>86</v>
      </c>
      <c r="W1" s="498" t="s">
        <v>14</v>
      </c>
    </row>
    <row s="1651" customFormat="1" customHeight="1" ht="5.25" hidden="1">
      <c r="C2" s="520"/>
      <c r="D2" s="503"/>
      <c r="F2" s="520"/>
      <c r="W2" s="498">
        <v>0</v>
      </c>
    </row>
    <row s="1621" customFormat="1" customHeight="1" ht="5.25">
      <c r="A3" s="488"/>
      <c r="D3" s="495"/>
      <c r="E3" s="490"/>
      <c r="F3" s="490"/>
      <c r="G3" s="490"/>
      <c r="H3" s="490"/>
      <c r="I3" s="491"/>
      <c r="J3" s="492"/>
      <c r="K3" s="492"/>
      <c r="L3" s="492"/>
      <c r="W3" s="489">
        <v>5</v>
      </c>
    </row>
    <row customHeight="1" ht="23.25">
      <c r="D4" s="459"/>
      <c r="E4" s="2266" t="s">
        <v>403</v>
      </c>
      <c r="F4" s="2266"/>
      <c r="G4" s="2267"/>
      <c r="H4" s="2267"/>
      <c r="I4" s="2268"/>
      <c r="J4" s="500"/>
      <c r="K4" s="462"/>
      <c r="L4" s="462"/>
      <c r="W4" s="456">
        <v>22</v>
      </c>
    </row>
    <row s="1644" customFormat="1" customHeight="1" ht="18">
      <c r="A5" s="768"/>
      <c r="D5" s="831"/>
      <c r="E5" s="2242" t="str">
        <f>IF(org=0,"Не определено",org)</f>
        <v>АО "ДГК"</v>
      </c>
      <c r="F5" s="2242"/>
      <c r="G5" s="2243"/>
      <c r="H5" s="2243"/>
      <c r="I5" s="2244"/>
      <c r="J5" s="500"/>
      <c r="K5" s="462"/>
      <c r="L5" s="462"/>
      <c r="M5" s="516"/>
      <c r="W5" s="767">
        <v>17</v>
      </c>
    </row>
    <row s="1621" customFormat="1" customHeight="1" ht="11.549999999999999">
      <c r="A6" s="488"/>
      <c r="D6" s="495"/>
      <c r="E6" s="490"/>
      <c r="F6" s="490"/>
      <c r="G6" s="493"/>
      <c r="H6" s="493"/>
      <c r="I6" s="494"/>
      <c r="J6" s="494"/>
      <c r="K6" s="761"/>
      <c r="L6" s="494"/>
      <c r="W6" s="489">
        <v>11</v>
      </c>
    </row>
    <row customHeight="1" ht="14.699999999999998">
      <c r="D7" s="459"/>
      <c r="E7" s="2236" t="s">
        <v>315</v>
      </c>
      <c r="F7" s="2236"/>
      <c r="G7" s="2237"/>
      <c r="H7" s="2237"/>
      <c r="I7" s="2237"/>
      <c r="J7" s="2237"/>
      <c r="K7" s="2237"/>
      <c r="L7" s="2251" t="s">
        <v>316</v>
      </c>
      <c r="W7" s="456">
        <v>14</v>
      </c>
    </row>
    <row customHeight="1" ht="48.29999999999999">
      <c r="D8" s="459"/>
      <c r="E8" s="482" t="s">
        <v>89</v>
      </c>
      <c r="F8" s="832"/>
      <c r="G8" s="474" t="s">
        <v>87</v>
      </c>
      <c r="H8" s="474" t="s">
        <v>88</v>
      </c>
      <c r="I8" s="423" t="s">
        <v>86</v>
      </c>
      <c r="J8" s="423" t="s">
        <v>404</v>
      </c>
      <c r="K8" s="423" t="s">
        <v>405</v>
      </c>
      <c r="L8" s="2251"/>
      <c r="W8" s="456">
        <v>46</v>
      </c>
    </row>
    <row customHeight="1" ht="12" hidden="1">
      <c r="D9" s="496"/>
      <c r="E9" s="502"/>
      <c r="F9" s="839"/>
      <c r="G9" s="502"/>
      <c r="H9" s="502"/>
      <c r="I9" s="502"/>
      <c r="J9" s="502"/>
      <c r="K9" s="502"/>
      <c r="L9" s="502"/>
      <c r="M9" s="456"/>
      <c r="W9" s="456">
        <v>0</v>
      </c>
    </row>
    <row customHeight="1" ht="14.25" hidden="1">
      <c r="A10" s="514"/>
      <c r="B10" s="514"/>
      <c r="D10" s="515"/>
      <c r="E10" s="521">
        <v>0</v>
      </c>
      <c r="F10" s="830"/>
      <c r="G10" s="517"/>
      <c r="H10" s="517"/>
      <c r="I10" s="517"/>
      <c r="J10" s="517"/>
      <c r="K10" s="517"/>
      <c r="L10" s="2249" t="s">
        <v>406</v>
      </c>
      <c r="M10" s="516"/>
      <c r="N10" s="514"/>
      <c r="O10" s="514"/>
      <c r="P10" s="514"/>
      <c r="Q10" s="514"/>
      <c r="R10" s="514"/>
      <c r="S10" s="514"/>
      <c r="T10" s="514"/>
      <c r="U10" s="514"/>
      <c r="V10" s="514"/>
      <c r="W10" s="456">
        <v>0</v>
      </c>
    </row>
    <row customHeight="1" ht="15" hidden="1">
      <c r="A11" s="2127"/>
      <c r="B11" s="513"/>
      <c r="C11" s="513"/>
      <c r="D11" s="874"/>
      <c r="E11" s="522"/>
      <c r="F11" s="522"/>
      <c r="G11" s="522"/>
      <c r="H11" s="522"/>
      <c r="I11" s="523"/>
      <c r="J11" s="524"/>
      <c r="K11" s="722"/>
      <c r="L11" s="2269"/>
      <c r="M11" s="520"/>
      <c r="N11" s="520"/>
      <c r="O11" s="520"/>
      <c r="P11" s="525"/>
      <c r="Q11" s="525"/>
      <c r="R11" s="526"/>
      <c r="S11" s="520"/>
      <c r="T11" s="520"/>
      <c r="U11" s="520"/>
      <c r="V11" s="520"/>
      <c r="W11" s="456">
        <v>0</v>
      </c>
    </row>
    <row s="1621" customFormat="1" customHeight="1" ht="15">
      <c r="A12" s="2127"/>
      <c r="B12" s="513"/>
      <c r="C12" s="513"/>
      <c r="D12" s="875"/>
      <c r="E12" s="832">
        <v>1</v>
      </c>
      <c r="F12" s="873">
        <v>23</v>
      </c>
      <c r="G12" s="872"/>
      <c r="H12" s="802"/>
      <c r="I12" s="800"/>
      <c r="J12" s="529" t="s">
        <v>63</v>
      </c>
      <c r="K12" s="1173" t="s">
        <v>22</v>
      </c>
      <c r="L12" s="2269"/>
      <c r="M12" s="520"/>
      <c r="N12" s="520"/>
      <c r="O12" s="520"/>
      <c r="P12" s="525" t="s">
        <v>407</v>
      </c>
      <c r="Q12" s="525" t="s">
        <v>408</v>
      </c>
      <c r="R12" s="526" t="s">
        <v>409</v>
      </c>
      <c r="S12" s="520" t="s">
        <v>410</v>
      </c>
      <c r="T12" s="520"/>
      <c r="U12" s="520"/>
      <c r="V12" s="520"/>
      <c r="W12" s="489">
        <v>14</v>
      </c>
    </row>
    <row customHeight="1" ht="15.75">
      <c r="A13" s="2127"/>
      <c r="B13" s="514"/>
      <c r="D13" s="515"/>
      <c r="E13" s="414"/>
      <c r="F13" s="538"/>
      <c r="G13" s="425" t="s">
        <v>102</v>
      </c>
      <c r="H13" s="413"/>
      <c r="I13" s="413"/>
      <c r="J13" s="413"/>
      <c r="K13" s="412"/>
      <c r="L13" s="2250"/>
      <c r="M13" s="518"/>
      <c r="N13" s="514"/>
      <c r="O13" s="514"/>
      <c r="P13" s="514"/>
      <c r="Q13" s="514"/>
      <c r="R13" s="514"/>
      <c r="S13" s="514"/>
      <c r="T13" s="514"/>
      <c r="U13" s="514"/>
      <c r="V13" s="514"/>
      <c r="W13" s="456">
        <v>15</v>
      </c>
    </row>
    <row customHeight="1" ht="11.549999999999999">
      <c r="A14" s="488"/>
      <c r="B14" s="489"/>
      <c r="C14" s="489"/>
      <c r="D14" s="504"/>
      <c r="E14" s="489"/>
      <c r="F14" s="489"/>
      <c r="G14" s="489"/>
      <c r="H14" s="489"/>
      <c r="I14" s="489"/>
      <c r="J14" s="489"/>
      <c r="K14" s="489"/>
      <c r="L14" s="489"/>
      <c r="M14" s="489"/>
      <c r="N14" s="489"/>
      <c r="O14" s="489"/>
      <c r="P14" s="489"/>
      <c r="Q14" s="489"/>
      <c r="R14" s="489"/>
      <c r="S14" s="489"/>
      <c r="T14" s="489"/>
      <c r="U14" s="489"/>
      <c r="V14" s="489"/>
      <c r="W14" s="456">
        <v>11</v>
      </c>
    </row>
    <row customHeight="1" ht="14.699999999999998">
      <c r="D15" s="475"/>
      <c r="E15" s="345"/>
      <c r="F15" s="345"/>
      <c r="G15" s="67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75"/>
      <c r="I15" s="475"/>
      <c r="J15" s="475"/>
      <c r="K15" s="475"/>
      <c r="L15" s="475"/>
      <c r="W15" s="456">
        <v>14</v>
      </c>
    </row>
    <row customHeight="1" ht="14.699999999999998">
      <c r="W16" s="456">
        <v>14</v>
      </c>
    </row>
    <row customHeight="1" ht="14.699999999999998">
      <c r="W17" s="456">
        <v>14</v>
      </c>
    </row>
    <row customHeight="1" ht="14.699999999999998">
      <c r="G18" s="514"/>
      <c r="W18" s="456">
        <v>14</v>
      </c>
    </row>
    <row customHeight="1" ht="22.5" hidden="1">
      <c r="A19" s="458" t="s">
        <v>83</v>
      </c>
      <c r="B19" s="456">
        <v>0</v>
      </c>
      <c r="C19" s="767">
        <v>0</v>
      </c>
      <c r="D19" s="460">
        <v>3</v>
      </c>
      <c r="E19" s="456">
        <v>6</v>
      </c>
      <c r="F19" s="767">
        <v>0</v>
      </c>
      <c r="G19" s="456">
        <v>30</v>
      </c>
      <c r="H19" s="456">
        <v>30</v>
      </c>
      <c r="I19" s="456">
        <v>8</v>
      </c>
      <c r="J19" s="456">
        <v>12</v>
      </c>
      <c r="K19" s="456">
        <v>46</v>
      </c>
      <c r="L19" s="456">
        <v>100</v>
      </c>
      <c r="M19" s="461">
        <v>7</v>
      </c>
      <c r="N19" s="456">
        <v>10</v>
      </c>
      <c r="O19" s="456">
        <v>10</v>
      </c>
      <c r="P19" s="456">
        <v>10</v>
      </c>
      <c r="Q19" s="456">
        <v>10</v>
      </c>
      <c r="R19" s="456">
        <v>10</v>
      </c>
      <c r="S19" s="456">
        <v>10</v>
      </c>
      <c r="T19" s="456">
        <v>10</v>
      </c>
      <c r="U19" s="456">
        <v>10</v>
      </c>
      <c r="V19" s="456">
        <v>10</v>
      </c>
      <c r="W19" s="456">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D80D3D-1788-5D7A-24FD-0.5B3C7EC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18">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13"/>
      <c r="Q3" s="361"/>
      <c r="R3" s="362"/>
      <c r="S3" s="1318">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1318">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362"/>
      <c r="S5" s="1318">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509"/>
      <c r="AP5" s="509" t="str">
        <f>IF(T5="","",T5)</f>
        <v>Источник тепловой энергии  </v>
      </c>
      <c r="AQ5" s="509"/>
      <c r="AR5" s="509"/>
      <c r="AS5" s="1164">
        <v>0</v>
      </c>
    </row>
    <row customHeight="1" ht="47.25" hidden="1">
      <c r="A6" s="1372"/>
      <c r="B6" s="1372"/>
      <c r="C6" s="1372"/>
      <c r="D6" s="1372"/>
      <c r="E6" s="2287"/>
      <c r="F6" s="2287"/>
      <c r="G6" s="2287"/>
      <c r="H6" s="2287"/>
      <c r="I6" s="2284">
        <f>S5&amp;".1"</f>
      </c>
      <c r="J6" s="1372"/>
      <c r="K6" s="1372"/>
      <c r="L6" s="1373" t="s">
        <v>418</v>
      </c>
      <c r="M6" s="546"/>
      <c r="P6" s="2285">
        <v>1</v>
      </c>
      <c r="Q6" s="1314"/>
      <c r="R6" s="365"/>
      <c r="S6" s="1318">
        <f>$I6</f>
      </c>
      <c r="T6" s="294" t="s">
        <v>419</v>
      </c>
      <c r="U6" s="309"/>
      <c r="V6" s="2273"/>
      <c r="W6" s="2274"/>
      <c r="X6" s="2274"/>
      <c r="Y6" s="2274"/>
      <c r="Z6" s="2274"/>
      <c r="AA6" s="2274"/>
      <c r="AB6" s="2274"/>
      <c r="AC6" s="2275"/>
      <c r="AD6" s="2273"/>
      <c r="AE6" s="2274"/>
      <c r="AF6" s="2274"/>
      <c r="AG6" s="2274"/>
      <c r="AH6" s="2274"/>
      <c r="AI6" s="2274"/>
      <c r="AJ6" s="2274"/>
      <c r="AK6" s="2274"/>
      <c r="AL6" s="2275"/>
      <c r="AM6" s="1267" t="s">
        <v>420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87"/>
      <c r="F7" s="2287"/>
      <c r="G7" s="2287"/>
      <c r="H7" s="2287"/>
      <c r="I7" s="2314"/>
      <c r="J7" s="2284">
        <f>I6&amp;".1"</f>
      </c>
      <c r="K7" s="1372"/>
      <c r="L7" s="1373" t="s">
        <v>421</v>
      </c>
      <c r="M7" s="546"/>
      <c r="N7" s="1375"/>
      <c r="P7" s="2285"/>
      <c r="Q7" s="2285">
        <v>1</v>
      </c>
      <c r="R7" s="366"/>
      <c r="S7" s="1318">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509"/>
      <c r="AP7" s="509" t="str">
        <f>IF(T7="","",T7)</f>
        <v>Группа потребителей</v>
      </c>
      <c r="AQ7" s="509"/>
      <c r="AR7" s="509"/>
      <c r="AS7" s="1164">
        <v>0</v>
      </c>
    </row>
    <row customHeight="1" ht="21" hidden="1">
      <c r="A8" s="1372"/>
      <c r="B8" s="1372"/>
      <c r="C8" s="1372"/>
      <c r="D8" s="1372"/>
      <c r="E8" s="2287"/>
      <c r="F8" s="2287"/>
      <c r="G8" s="2287"/>
      <c r="H8" s="2287"/>
      <c r="I8" s="2314"/>
      <c r="J8" s="2314"/>
      <c r="K8" s="2284">
        <f>J7&amp;".1"</f>
      </c>
      <c r="L8" s="1373" t="s">
        <v>424</v>
      </c>
      <c r="M8" s="546"/>
      <c r="N8" s="1375"/>
      <c r="O8" s="1375"/>
      <c r="P8" s="2285"/>
      <c r="Q8" s="2285"/>
      <c r="R8" s="366">
        <v>1</v>
      </c>
      <c r="S8" s="1318">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520">
        <f>STRCHECKDATE(V9:AL9)</f>
      </c>
      <c r="AO8" s="509"/>
      <c r="AP8" s="509" t="str">
        <f>IF(T8="","",T8)</f>
        <v/>
      </c>
      <c r="AQ8" s="509"/>
      <c r="AR8" s="509"/>
      <c r="AS8" s="1164">
        <v>0</v>
      </c>
    </row>
    <row customHeight="1" ht="0.75" hidden="1">
      <c r="A9" s="1372"/>
      <c r="B9" s="1372"/>
      <c r="C9" s="1372"/>
      <c r="D9" s="1372"/>
      <c r="E9" s="2287"/>
      <c r="F9" s="2287"/>
      <c r="G9" s="2287"/>
      <c r="H9" s="2287"/>
      <c r="I9" s="2314"/>
      <c r="J9" s="2314"/>
      <c r="K9" s="2284"/>
      <c r="L9" s="1373"/>
      <c r="M9" s="546"/>
      <c r="N9" s="1375"/>
      <c r="O9" s="1375"/>
      <c r="P9" s="2285"/>
      <c r="Q9" s="2285"/>
      <c r="R9" s="366"/>
      <c r="S9" s="1315"/>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5" hidden="1">
      <c r="A10" s="1372"/>
      <c r="B10" s="1372"/>
      <c r="C10" s="1372"/>
      <c r="D10" s="1372"/>
      <c r="E10" s="2287"/>
      <c r="F10" s="2287"/>
      <c r="G10" s="2287"/>
      <c r="H10" s="2287"/>
      <c r="I10" s="2314"/>
      <c r="J10" s="2284"/>
      <c r="K10" s="1372"/>
      <c r="L10" s="1373"/>
      <c r="M10" s="546"/>
      <c r="N10" s="1375"/>
      <c r="P10" s="2285"/>
      <c r="Q10" s="2285"/>
      <c r="R10" s="365"/>
      <c r="S10" s="1287"/>
      <c r="T10" s="297"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87"/>
      <c r="F11" s="2287"/>
      <c r="G11" s="2287"/>
      <c r="H11" s="2287"/>
      <c r="I11" s="2284"/>
      <c r="J11" s="1372"/>
      <c r="K11" s="1372"/>
      <c r="L11" s="1373"/>
      <c r="M11" s="546"/>
      <c r="P11" s="2285"/>
      <c r="Q11" s="1314"/>
      <c r="R11" s="365"/>
      <c r="S11" s="1287"/>
      <c r="T11" s="296"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87"/>
      <c r="F12" s="2287"/>
      <c r="G12" s="2287"/>
      <c r="H12" s="2286"/>
      <c r="I12" s="1372"/>
      <c r="J12" s="1372"/>
      <c r="K12" s="1372"/>
      <c r="L12" s="1373"/>
      <c r="M12" s="1374"/>
      <c r="N12" s="1374"/>
      <c r="O12" s="546"/>
      <c r="P12" s="369"/>
      <c r="Q12" s="384"/>
      <c r="R12" s="364"/>
      <c r="S12" s="1287"/>
      <c r="T12" s="374" t="s">
        <v>428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P17" s="1320"/>
      <c r="AD17" s="1369"/>
      <c r="AE17" s="1369"/>
      <c r="AF17" s="1369"/>
      <c r="AG17" s="1370"/>
      <c r="AH17" s="2295"/>
      <c r="AI17" s="2296" t="s">
        <v>63</v>
      </c>
      <c r="AJ17" s="2295"/>
      <c r="AK17" s="2296" t="s">
        <v>63</v>
      </c>
      <c r="AS17" s="1164">
        <v>0</v>
      </c>
    </row>
    <row customHeight="1" ht="14.25" hidden="1">
      <c r="P18" s="1320"/>
      <c r="AD18" s="1369"/>
      <c r="AE18" s="1369"/>
      <c r="AF18" s="1369"/>
      <c r="AG18" s="337" t="str">
        <f>AH17&amp;"-"&amp;AJ17</f>
        <v>-</v>
      </c>
      <c r="AH18" s="2296"/>
      <c r="AI18" s="2296"/>
      <c r="AJ18" s="2296"/>
      <c r="AK18" s="2296"/>
      <c r="AS18" s="1164">
        <v>0</v>
      </c>
    </row>
    <row customHeight="1" ht="14.25" hidden="1">
      <c r="P19" s="1320"/>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P23" s="1320"/>
      <c r="AS23" s="1164">
        <v>0</v>
      </c>
    </row>
    <row customHeight="1" ht="14.25" hidden="1">
      <c r="O24" s="1373"/>
      <c r="P24" s="1320"/>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14.699999999999998">
      <c r="Q26" s="385"/>
      <c r="R26" s="385"/>
      <c r="S26" s="22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6"/>
      <c r="U26" s="2276"/>
      <c r="V26" s="2276"/>
      <c r="W26" s="2276"/>
      <c r="X26" s="2276"/>
      <c r="Y26" s="2276"/>
      <c r="Z26" s="2276"/>
      <c r="AA26" s="2276"/>
      <c r="AB26" s="2276"/>
      <c r="AC26" s="2276"/>
      <c r="AD26" s="2276"/>
      <c r="AE26" s="2276"/>
      <c r="AF26" s="2276"/>
      <c r="AG26" s="2276"/>
      <c r="AH26" s="2276"/>
      <c r="AI26" s="2276"/>
      <c r="AJ26" s="2276"/>
      <c r="AK26" s="1252"/>
      <c r="AS26" s="1164">
        <v>14</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P33" s="1337"/>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18.7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228"/>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164">
        <v>14</v>
      </c>
    </row>
    <row customHeight="1" ht="35.699999999999996">
      <c r="Q40" s="385"/>
      <c r="R40" s="385"/>
      <c r="S40" s="2301"/>
      <c r="T40" s="2237"/>
      <c r="U40" s="1040"/>
      <c r="V40" s="2288" t="s">
        <v>444</v>
      </c>
      <c r="W40" s="2642" t="s">
        <v>445</v>
      </c>
      <c r="X40" s="2290" t="s">
        <v>446</v>
      </c>
      <c r="Y40" s="2291"/>
      <c r="Z40" s="2290" t="s">
        <v>447</v>
      </c>
      <c r="AA40" s="2297"/>
      <c r="AB40" s="2291"/>
      <c r="AC40" s="2306"/>
      <c r="AD40" s="2288" t="s">
        <v>444</v>
      </c>
      <c r="AE40" s="2311" t="s">
        <v>445</v>
      </c>
      <c r="AF40" s="2290" t="s">
        <v>446</v>
      </c>
      <c r="AG40" s="2291"/>
      <c r="AH40" s="2290" t="s">
        <v>447</v>
      </c>
      <c r="AI40" s="2297"/>
      <c r="AJ40" s="2291"/>
      <c r="AK40" s="2306"/>
      <c r="AL40" s="2309"/>
      <c r="AM40" s="2155"/>
      <c r="AS40" s="1164">
        <v>34</v>
      </c>
    </row>
    <row customHeight="1" ht="35.699999999999996">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Q41" s="385"/>
      <c r="R41" s="385"/>
      <c r="S41" s="2301"/>
      <c r="T41" s="2237"/>
      <c r="U41" s="311"/>
      <c r="V41" s="2289"/>
      <c r="W41" s="2312"/>
      <c r="X41" s="1231" t="s">
        <v>455</v>
      </c>
      <c r="Y41" s="1231" t="s">
        <v>456</v>
      </c>
      <c r="Z41" s="1230" t="s">
        <v>457</v>
      </c>
      <c r="AA41" s="2298" t="s">
        <v>458</v>
      </c>
      <c r="AB41" s="2299"/>
      <c r="AC41" s="2307"/>
      <c r="AD41" s="2289"/>
      <c r="AE41" s="2312"/>
      <c r="AF41" s="1231" t="s">
        <v>455</v>
      </c>
      <c r="AG41" s="1231" t="s">
        <v>456</v>
      </c>
      <c r="AH41" s="1322" t="s">
        <v>457</v>
      </c>
      <c r="AI41" s="2298" t="s">
        <v>458</v>
      </c>
      <c r="AJ41" s="2299"/>
      <c r="AK41" s="2307"/>
      <c r="AL41" s="2310"/>
      <c r="AM41" s="2155"/>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265">
        <f>OFFSET(V42,0,-1)+1</f>
        <v>3</v>
      </c>
      <c r="W42" s="1265"/>
      <c r="X42" s="1265">
        <f>OFFSET(X42,0,-1)+1</f>
        <v>1</v>
      </c>
      <c r="Y42" s="1265">
        <f>OFFSET(Y42,0,-1)+1</f>
        <v>2</v>
      </c>
      <c r="Z42" s="1265">
        <f>OFFSET(Z42,0,-1)+1</f>
        <v>3</v>
      </c>
      <c r="AA42" s="2300">
        <f>OFFSET(AA42,0,-1)+1</f>
        <v>4</v>
      </c>
      <c r="AB42" s="2300"/>
      <c r="AC42" s="1265">
        <f>OFFSET(AC42,0,-2)+1</f>
        <v>5</v>
      </c>
      <c r="AD42" s="1321">
        <f>OFFSET(AD42,0,-1)+1</f>
        <v>6</v>
      </c>
      <c r="AE42" s="1321"/>
      <c r="AF42" s="1321">
        <f>OFFSET(AF42,0,-1)+1</f>
        <v>1</v>
      </c>
      <c r="AG42" s="1321">
        <f>OFFSET(AG42,0,-1)+1</f>
        <v>2</v>
      </c>
      <c r="AH42" s="1321">
        <f>OFFSET(AH42,0,-1)+1</f>
        <v>3</v>
      </c>
      <c r="AI42" s="2300">
        <f>OFFSET(AI42,0,-1)+1</f>
        <v>4</v>
      </c>
      <c r="AJ42" s="2300"/>
      <c r="AK42" s="1321">
        <f>OFFSET(AK42,0,-2)+1</f>
        <v>5</v>
      </c>
      <c r="AL42" s="1254">
        <f>OFFSET(AL42,0,-1)</f>
        <v>5</v>
      </c>
      <c r="AM42" s="1265">
        <f>OFFSET(AM42,0,-1)+1</f>
        <v>6</v>
      </c>
      <c r="AN42" s="520"/>
      <c r="AO42" s="520"/>
      <c r="AP42" s="520"/>
      <c r="AQ42" s="520"/>
      <c r="AR42" s="520"/>
      <c r="AS42" s="505">
        <v>0</v>
      </c>
    </row>
    <row customHeight="1" ht="24">
      <c r="A43" s="1372" t="s">
        <v>173</v>
      </c>
      <c r="B43" s="1372"/>
      <c r="C43" s="1372"/>
      <c r="D43" s="1372"/>
      <c r="E43" s="2286">
        <v>1</v>
      </c>
      <c r="F43" s="1372"/>
      <c r="G43" s="1372"/>
      <c r="H43" s="1372"/>
      <c r="I43" s="1372"/>
      <c r="J43" s="1372"/>
      <c r="K43" s="1372"/>
      <c r="L43" s="1373"/>
      <c r="M43" s="1374"/>
      <c r="N43" s="1374"/>
      <c r="O43" s="1374"/>
      <c r="P43" s="370"/>
      <c r="Q43" s="369"/>
      <c r="R43" s="364"/>
      <c r="S43" s="1233">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23</v>
      </c>
    </row>
    <row customHeight="1" ht="24">
      <c r="A44" s="1372" t="s">
        <v>173</v>
      </c>
      <c r="B44" s="1372" t="s">
        <v>174</v>
      </c>
      <c r="C44" s="1372"/>
      <c r="D44" s="1372"/>
      <c r="E44" s="2287"/>
      <c r="F44" s="2286">
        <v>1</v>
      </c>
      <c r="G44" s="1372"/>
      <c r="H44" s="1372"/>
      <c r="I44" s="1372"/>
      <c r="J44" s="1372"/>
      <c r="K44" s="1372"/>
      <c r="L44" s="1373"/>
      <c r="M44" s="1374"/>
      <c r="N44" s="1374"/>
      <c r="O44" s="1374"/>
      <c r="P44" s="531"/>
      <c r="Q44" s="361"/>
      <c r="R44" s="362"/>
      <c r="S44" s="1233"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23</v>
      </c>
    </row>
    <row customHeight="1" ht="24">
      <c r="A45" s="1372" t="s">
        <v>173</v>
      </c>
      <c r="B45" s="1372" t="s">
        <v>174</v>
      </c>
      <c r="C45" s="1372" t="s">
        <v>175</v>
      </c>
      <c r="D45" s="1372"/>
      <c r="E45" s="2287"/>
      <c r="F45" s="2287"/>
      <c r="G45" s="2286">
        <v>1</v>
      </c>
      <c r="H45" s="1372"/>
      <c r="I45" s="1372"/>
      <c r="J45" s="1372"/>
      <c r="K45" s="1372"/>
      <c r="L45" s="1373"/>
      <c r="M45" s="1374"/>
      <c r="N45" s="1374"/>
      <c r="O45" s="1374"/>
      <c r="P45" s="363"/>
      <c r="Q45" s="361"/>
      <c r="R45" s="362"/>
      <c r="S45" s="1233"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4">
      <c r="A46" s="1372" t="s">
        <v>173</v>
      </c>
      <c r="B46" s="1372" t="s">
        <v>174</v>
      </c>
      <c r="C46" s="1372" t="s">
        <v>175</v>
      </c>
      <c r="D46" s="1372" t="s">
        <v>176</v>
      </c>
      <c r="E46" s="2287"/>
      <c r="F46" s="2287"/>
      <c r="G46" s="2287"/>
      <c r="H46" s="2286">
        <v>1</v>
      </c>
      <c r="I46" s="1372"/>
      <c r="J46" s="1372"/>
      <c r="K46" s="1372"/>
      <c r="L46" s="1373"/>
      <c r="M46" s="1374"/>
      <c r="N46" s="1374"/>
      <c r="O46" s="1374"/>
      <c r="P46" s="363"/>
      <c r="Q46" s="361"/>
      <c r="R46" s="362"/>
      <c r="S46" s="1233"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23</v>
      </c>
    </row>
    <row customHeight="1" ht="49.5">
      <c r="A47" s="1372" t="s">
        <v>173</v>
      </c>
      <c r="B47" s="1372" t="s">
        <v>174</v>
      </c>
      <c r="C47" s="1372" t="s">
        <v>175</v>
      </c>
      <c r="D47" s="1372" t="s">
        <v>176</v>
      </c>
      <c r="E47" s="2287"/>
      <c r="F47" s="2287"/>
      <c r="G47" s="2287"/>
      <c r="H47" s="2287"/>
      <c r="I47" s="2284" t="str">
        <f>S46&amp;".1"</f>
        <v>....1</v>
      </c>
      <c r="J47" s="1372"/>
      <c r="K47" s="1372"/>
      <c r="L47" s="1373" t="s">
        <v>418</v>
      </c>
      <c r="P47" s="2285">
        <v>1</v>
      </c>
      <c r="Q47" s="1229"/>
      <c r="R47" s="365"/>
      <c r="S47" s="1233" t="str">
        <f>$I47</f>
        <v>....1</v>
      </c>
      <c r="T47" s="294" t="s">
        <v>419</v>
      </c>
      <c r="U47" s="309"/>
      <c r="V47" s="2273"/>
      <c r="W47" s="2274"/>
      <c r="X47" s="2274"/>
      <c r="Y47" s="2274"/>
      <c r="Z47" s="2274"/>
      <c r="AA47" s="2274"/>
      <c r="AB47" s="2274"/>
      <c r="AC47" s="2275"/>
      <c r="AD47" s="2273"/>
      <c r="AE47" s="2274"/>
      <c r="AF47" s="2274"/>
      <c r="AG47" s="2274"/>
      <c r="AH47" s="2274"/>
      <c r="AI47" s="2274"/>
      <c r="AJ47" s="2274"/>
      <c r="AK47" s="2274"/>
      <c r="AL47" s="2275"/>
      <c r="AM47" s="1267" t="s">
        <v>420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4">
      <c r="A48" s="1372" t="s">
        <v>173</v>
      </c>
      <c r="B48" s="1372" t="s">
        <v>174</v>
      </c>
      <c r="C48" s="1372" t="s">
        <v>175</v>
      </c>
      <c r="D48" s="1372" t="s">
        <v>176</v>
      </c>
      <c r="E48" s="2287"/>
      <c r="F48" s="2287"/>
      <c r="G48" s="2287"/>
      <c r="H48" s="2287"/>
      <c r="I48" s="2314"/>
      <c r="J48" s="2284" t="str">
        <f>I47&amp;".1"</f>
        <v>....1.1</v>
      </c>
      <c r="K48" s="1372"/>
      <c r="L48" s="1373" t="s">
        <v>421</v>
      </c>
      <c r="P48" s="2285"/>
      <c r="Q48" s="2285">
        <v>1</v>
      </c>
      <c r="R48" s="366"/>
      <c r="S48" s="1233" t="str">
        <f>$J48</f>
        <v>....1.1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23</v>
      </c>
    </row>
    <row customHeight="1" ht="24">
      <c r="A49" s="1372" t="s">
        <v>173</v>
      </c>
      <c r="B49" s="1372" t="s">
        <v>174</v>
      </c>
      <c r="C49" s="1372" t="s">
        <v>175</v>
      </c>
      <c r="D49" s="1372" t="s">
        <v>176</v>
      </c>
      <c r="E49" s="2287"/>
      <c r="F49" s="2287"/>
      <c r="G49" s="2287"/>
      <c r="H49" s="2287"/>
      <c r="I49" s="2314"/>
      <c r="J49" s="2314"/>
      <c r="K49" s="2284" t="str">
        <f>J48&amp;".1"</f>
        <v>....1.1.1</v>
      </c>
      <c r="L49" s="1373" t="s">
        <v>424</v>
      </c>
      <c r="P49" s="2285"/>
      <c r="Q49" s="2285"/>
      <c r="R49" s="366">
        <v>1</v>
      </c>
      <c r="S49" s="1233" t="str">
        <f>$K49</f>
        <v>....1.1.1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425</v>
      </c>
      <c r="AN49" s="520">
        <f>STRCHECKDATE(V50:AL50)</f>
      </c>
      <c r="AO49" s="509"/>
      <c r="AP49" s="509" t="str">
        <f>IF(T49="","",T49)</f>
        <v/>
      </c>
      <c r="AQ49" s="509"/>
      <c r="AR49" s="509"/>
      <c r="AS49" s="1164">
        <v>23</v>
      </c>
    </row>
    <row customHeight="1" ht="1.05">
      <c r="A50" s="1372" t="s">
        <v>173</v>
      </c>
      <c r="B50" s="1372" t="s">
        <v>174</v>
      </c>
      <c r="C50" s="1372" t="s">
        <v>175</v>
      </c>
      <c r="D50" s="1372" t="s">
        <v>176</v>
      </c>
      <c r="E50" s="2287"/>
      <c r="F50" s="2287"/>
      <c r="G50" s="2287"/>
      <c r="H50" s="2287"/>
      <c r="I50" s="2314"/>
      <c r="J50" s="2314"/>
      <c r="K50" s="2284"/>
      <c r="L50" s="1373"/>
      <c r="P50" s="2285"/>
      <c r="Q50" s="2285"/>
      <c r="R50" s="366"/>
      <c r="S50" s="1232"/>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1</v>
      </c>
    </row>
    <row customHeight="1" ht="11.549999999999999">
      <c r="A51" s="1372" t="s">
        <v>173</v>
      </c>
      <c r="B51" s="1372" t="s">
        <v>174</v>
      </c>
      <c r="C51" s="1372" t="s">
        <v>175</v>
      </c>
      <c r="D51" s="1372" t="s">
        <v>176</v>
      </c>
      <c r="E51" s="2287"/>
      <c r="F51" s="2287"/>
      <c r="G51" s="2287"/>
      <c r="H51" s="2287"/>
      <c r="I51" s="2314"/>
      <c r="J51" s="2284"/>
      <c r="K51" s="1372"/>
      <c r="L51" s="1373"/>
      <c r="P51" s="2285"/>
      <c r="Q51" s="2285"/>
      <c r="R51" s="365"/>
      <c r="S51" s="1287"/>
      <c r="T51" s="297"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173</v>
      </c>
      <c r="B52" s="1372" t="s">
        <v>174</v>
      </c>
      <c r="C52" s="1372" t="s">
        <v>175</v>
      </c>
      <c r="D52" s="1372" t="s">
        <v>176</v>
      </c>
      <c r="E52" s="2287"/>
      <c r="F52" s="2287"/>
      <c r="G52" s="2287"/>
      <c r="H52" s="2287"/>
      <c r="I52" s="2284"/>
      <c r="J52" s="1372"/>
      <c r="K52" s="1372"/>
      <c r="L52" s="1373"/>
      <c r="P52" s="2285"/>
      <c r="Q52" s="1229"/>
      <c r="R52" s="365"/>
      <c r="S52" s="1287"/>
      <c r="T52" s="296"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173</v>
      </c>
      <c r="B53" s="1372" t="s">
        <v>174</v>
      </c>
      <c r="C53" s="1372" t="s">
        <v>175</v>
      </c>
      <c r="D53" s="1372" t="s">
        <v>176</v>
      </c>
      <c r="E53" s="2287"/>
      <c r="F53" s="2287"/>
      <c r="G53" s="2287"/>
      <c r="H53" s="2286"/>
      <c r="I53" s="1372"/>
      <c r="J53" s="1372"/>
      <c r="K53" s="1372"/>
      <c r="L53" s="1373"/>
      <c r="M53" s="1374"/>
      <c r="N53" s="1374"/>
      <c r="O53" s="546"/>
      <c r="P53" s="369"/>
      <c r="Q53" s="384"/>
      <c r="R53" s="364"/>
      <c r="S53" s="1287"/>
      <c r="T53" s="374" t="s">
        <v>428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173</v>
      </c>
      <c r="B54" s="1352" t="s">
        <v>174</v>
      </c>
      <c r="C54" s="1352" t="s">
        <v>175</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173</v>
      </c>
      <c r="B55" s="1352" t="s">
        <v>174</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173</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27</v>
      </c>
    </row>
    <row customHeight="1" ht="67.2">
      <c r="O60" s="546"/>
      <c r="P60" s="1312"/>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64</v>
      </c>
    </row>
    <row customHeight="1" ht="14.699999999999998">
      <c r="O61" s="546"/>
      <c r="AS61" s="1164">
        <v>14</v>
      </c>
    </row>
    <row customHeight="1" ht="18.75">
      <c r="O62" s="546"/>
      <c r="P62" s="1337"/>
      <c r="S62" s="1262"/>
      <c r="T62" s="2313"/>
      <c r="U62" s="2313"/>
      <c r="V62" s="2313"/>
      <c r="W62" s="2313"/>
      <c r="X62" s="2313"/>
      <c r="Y62" s="2313"/>
      <c r="Z62" s="2313"/>
      <c r="AA62" s="2313"/>
      <c r="AB62" s="2313"/>
      <c r="AC62" s="2313"/>
      <c r="AD62" s="2313"/>
      <c r="AE62" s="2313"/>
      <c r="AF62" s="2313"/>
      <c r="AG62" s="2313"/>
      <c r="AH62" s="2313"/>
      <c r="AI62" s="2313"/>
      <c r="AJ62" s="2313"/>
      <c r="AK62" s="2313"/>
      <c r="AL62" s="2313"/>
      <c r="AM62" s="2313"/>
      <c r="AS62" s="1164">
        <v>18</v>
      </c>
    </row>
    <row customHeight="1" ht="18.75">
      <c r="O63" s="546"/>
      <c r="P63" s="1337"/>
      <c r="T63" s="2313"/>
      <c r="U63" s="2313"/>
      <c r="V63" s="2313"/>
      <c r="W63" s="2313"/>
      <c r="X63" s="2313"/>
      <c r="Y63" s="2313"/>
      <c r="Z63" s="2313"/>
      <c r="AA63" s="2313"/>
      <c r="AB63" s="2313"/>
      <c r="AC63" s="2313"/>
      <c r="AD63" s="2313"/>
      <c r="AE63" s="2313"/>
      <c r="AF63" s="2313"/>
      <c r="AG63" s="2313"/>
      <c r="AH63" s="2313"/>
      <c r="AI63" s="2313"/>
      <c r="AJ63" s="2313"/>
      <c r="AK63" s="2313"/>
      <c r="AL63" s="2313"/>
      <c r="AM63" s="2313"/>
      <c r="AS63" s="1164">
        <v>18</v>
      </c>
    </row>
    <row customHeight="1" ht="29.25">
      <c r="O64" s="546"/>
      <c r="P64" s="1337"/>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28</v>
      </c>
    </row>
    <row customHeight="1" ht="22.5" hidden="1">
      <c r="A65" s="1169" t="s">
        <v>83</v>
      </c>
      <c r="B65" s="1169">
        <v>0</v>
      </c>
      <c r="C65" s="1169">
        <v>0</v>
      </c>
      <c r="D65" s="1169">
        <v>0</v>
      </c>
      <c r="E65" s="1169">
        <v>0</v>
      </c>
      <c r="F65" s="1169">
        <v>0</v>
      </c>
      <c r="G65" s="1169">
        <v>0</v>
      </c>
      <c r="H65" s="1169">
        <v>0</v>
      </c>
      <c r="I65" s="1169">
        <v>0</v>
      </c>
      <c r="J65" s="1169">
        <v>0</v>
      </c>
      <c r="K65" s="1169">
        <v>0</v>
      </c>
      <c r="L65" s="1338">
        <v>0</v>
      </c>
      <c r="M65" s="1371">
        <v>0</v>
      </c>
      <c r="N65" s="1371">
        <v>0</v>
      </c>
      <c r="O65" s="1371">
        <v>0</v>
      </c>
      <c r="P65" s="1227">
        <v>3</v>
      </c>
      <c r="Q65" s="353">
        <v>3</v>
      </c>
      <c r="R65" s="353">
        <v>3</v>
      </c>
      <c r="S65" s="590">
        <v>12</v>
      </c>
      <c r="T65" s="1164">
        <v>35</v>
      </c>
      <c r="U65" s="1164">
        <v>0</v>
      </c>
      <c r="V65" s="1164">
        <v>0</v>
      </c>
      <c r="W65" s="1164">
        <v>0</v>
      </c>
      <c r="X65" s="1164">
        <v>0</v>
      </c>
      <c r="Y65" s="1164">
        <v>0</v>
      </c>
      <c r="Z65" s="1164">
        <v>0</v>
      </c>
      <c r="AA65" s="1164">
        <v>0</v>
      </c>
      <c r="AB65" s="1164">
        <v>0</v>
      </c>
      <c r="AC65" s="1164">
        <v>0</v>
      </c>
      <c r="AD65" s="1164">
        <v>24</v>
      </c>
      <c r="AE65" s="1164">
        <v>0</v>
      </c>
      <c r="AF65" s="1164">
        <v>24</v>
      </c>
      <c r="AG65" s="1164">
        <v>24</v>
      </c>
      <c r="AH65" s="1164">
        <v>11</v>
      </c>
      <c r="AI65" s="1164">
        <v>3</v>
      </c>
      <c r="AJ65" s="1164">
        <v>11</v>
      </c>
      <c r="AK65" s="1164">
        <v>0</v>
      </c>
      <c r="AL65" s="1164">
        <v>4</v>
      </c>
      <c r="AM65" s="1164">
        <v>115</v>
      </c>
      <c r="AN65" s="520">
        <v>10</v>
      </c>
      <c r="AO65" s="520">
        <v>10</v>
      </c>
      <c r="AP65" s="520">
        <v>10</v>
      </c>
      <c r="AQ65" s="520">
        <v>10</v>
      </c>
      <c r="AR65" s="520">
        <v>10</v>
      </c>
      <c r="AS65" s="1164">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1B011B-0278-A4A4-9F3E-0.D81018B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45">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41"/>
      <c r="Q3" s="361"/>
      <c r="R3" s="362"/>
      <c r="S3" s="1345">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1345">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362"/>
      <c r="S5" s="1345">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509"/>
      <c r="AP5" s="509" t="str">
        <f>IF(T5="","",T5)</f>
        <v>Источник тепловой энергии  </v>
      </c>
      <c r="AQ5" s="509"/>
      <c r="AR5" s="509"/>
      <c r="AS5" s="1164">
        <v>0</v>
      </c>
    </row>
    <row customHeight="1" ht="47.25" hidden="1">
      <c r="A6" s="1372"/>
      <c r="B6" s="1372"/>
      <c r="C6" s="1372"/>
      <c r="D6" s="1372"/>
      <c r="E6" s="2287"/>
      <c r="F6" s="2287"/>
      <c r="G6" s="2287"/>
      <c r="H6" s="2287"/>
      <c r="I6" s="2284">
        <f>S5&amp;".1"</f>
      </c>
      <c r="J6" s="1372"/>
      <c r="K6" s="1372"/>
      <c r="L6" s="1373" t="s">
        <v>418</v>
      </c>
      <c r="M6" s="546"/>
      <c r="P6" s="2285">
        <v>1</v>
      </c>
      <c r="Q6" s="1340"/>
      <c r="R6" s="365"/>
      <c r="S6" s="1345">
        <f>$I6</f>
      </c>
      <c r="T6" s="294" t="s">
        <v>419</v>
      </c>
      <c r="U6" s="309"/>
      <c r="V6" s="2273"/>
      <c r="W6" s="2274"/>
      <c r="X6" s="2274"/>
      <c r="Y6" s="2274"/>
      <c r="Z6" s="2274"/>
      <c r="AA6" s="2274"/>
      <c r="AB6" s="2274"/>
      <c r="AC6" s="2275"/>
      <c r="AD6" s="2273"/>
      <c r="AE6" s="2274"/>
      <c r="AF6" s="2274"/>
      <c r="AG6" s="2274"/>
      <c r="AH6" s="2274"/>
      <c r="AI6" s="2274"/>
      <c r="AJ6" s="2274"/>
      <c r="AK6" s="2274"/>
      <c r="AL6" s="2275"/>
      <c r="AM6" s="1267" t="s">
        <v>420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87"/>
      <c r="F7" s="2287"/>
      <c r="G7" s="2287"/>
      <c r="H7" s="2287"/>
      <c r="I7" s="2314"/>
      <c r="J7" s="2284">
        <f>I6&amp;".1"</f>
      </c>
      <c r="K7" s="1372"/>
      <c r="L7" s="1373" t="s">
        <v>421</v>
      </c>
      <c r="M7" s="546"/>
      <c r="N7" s="1375"/>
      <c r="P7" s="2285"/>
      <c r="Q7" s="2285">
        <v>1</v>
      </c>
      <c r="R7" s="366"/>
      <c r="S7" s="1345">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509"/>
      <c r="AP7" s="509" t="str">
        <f>IF(T7="","",T7)</f>
        <v>Группа потребителей</v>
      </c>
      <c r="AQ7" s="509"/>
      <c r="AR7" s="509"/>
      <c r="AS7" s="1164">
        <v>0</v>
      </c>
    </row>
    <row customHeight="1" ht="21" hidden="1">
      <c r="A8" s="1372"/>
      <c r="B8" s="1372"/>
      <c r="C8" s="1372"/>
      <c r="D8" s="1372"/>
      <c r="E8" s="2287"/>
      <c r="F8" s="2287"/>
      <c r="G8" s="2287"/>
      <c r="H8" s="2287"/>
      <c r="I8" s="2314"/>
      <c r="J8" s="2314"/>
      <c r="K8" s="2284">
        <f>J7&amp;".1"</f>
      </c>
      <c r="L8" s="1373" t="s">
        <v>424</v>
      </c>
      <c r="M8" s="546"/>
      <c r="N8" s="1375"/>
      <c r="O8" s="1375"/>
      <c r="P8" s="2285"/>
      <c r="Q8" s="2285"/>
      <c r="R8" s="366">
        <v>1</v>
      </c>
      <c r="S8" s="1345">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520">
        <f>STRCHECKDATE(V9:AL9)</f>
      </c>
      <c r="AO8" s="509"/>
      <c r="AP8" s="509" t="str">
        <f>IF(T8="","",T8)</f>
        <v/>
      </c>
      <c r="AQ8" s="509"/>
      <c r="AR8" s="509"/>
      <c r="AS8" s="1164">
        <v>0</v>
      </c>
    </row>
    <row customHeight="1" ht="0.75" hidden="1">
      <c r="A9" s="1372"/>
      <c r="B9" s="1372"/>
      <c r="C9" s="1372"/>
      <c r="D9" s="1372"/>
      <c r="E9" s="2287"/>
      <c r="F9" s="2287"/>
      <c r="G9" s="2287"/>
      <c r="H9" s="2287"/>
      <c r="I9" s="2314"/>
      <c r="J9" s="2314"/>
      <c r="K9" s="2284"/>
      <c r="L9" s="1373"/>
      <c r="M9" s="546"/>
      <c r="N9" s="1375"/>
      <c r="O9" s="1375"/>
      <c r="P9" s="2285"/>
      <c r="Q9" s="2285"/>
      <c r="R9" s="366"/>
      <c r="S9" s="1351"/>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5" hidden="1">
      <c r="A10" s="1372"/>
      <c r="B10" s="1372"/>
      <c r="C10" s="1372"/>
      <c r="D10" s="1372"/>
      <c r="E10" s="2287"/>
      <c r="F10" s="2287"/>
      <c r="G10" s="2287"/>
      <c r="H10" s="2287"/>
      <c r="I10" s="2314"/>
      <c r="J10" s="2284"/>
      <c r="K10" s="1372"/>
      <c r="L10" s="1373"/>
      <c r="M10" s="546"/>
      <c r="N10" s="1375"/>
      <c r="P10" s="2285"/>
      <c r="Q10" s="2285"/>
      <c r="R10" s="365"/>
      <c r="S10" s="1287"/>
      <c r="T10" s="297"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87"/>
      <c r="F11" s="2287"/>
      <c r="G11" s="2287"/>
      <c r="H11" s="2287"/>
      <c r="I11" s="2284"/>
      <c r="J11" s="1372"/>
      <c r="K11" s="1372"/>
      <c r="L11" s="1373"/>
      <c r="M11" s="546"/>
      <c r="P11" s="2285"/>
      <c r="Q11" s="1340"/>
      <c r="R11" s="365"/>
      <c r="S11" s="1287"/>
      <c r="T11" s="296"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87"/>
      <c r="F12" s="2287"/>
      <c r="G12" s="2287"/>
      <c r="H12" s="2286"/>
      <c r="I12" s="1372"/>
      <c r="J12" s="1372"/>
      <c r="K12" s="1372"/>
      <c r="L12" s="1373"/>
      <c r="M12" s="1374"/>
      <c r="N12" s="1374"/>
      <c r="O12" s="546"/>
      <c r="P12" s="369"/>
      <c r="Q12" s="384"/>
      <c r="R12" s="364"/>
      <c r="S12" s="1287"/>
      <c r="T12" s="374" t="s">
        <v>428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95"/>
      <c r="AI17" s="2296" t="s">
        <v>63</v>
      </c>
      <c r="AJ17" s="2295"/>
      <c r="AK17" s="2296" t="s">
        <v>63</v>
      </c>
      <c r="AS17" s="1164">
        <v>0</v>
      </c>
    </row>
    <row customHeight="1" ht="14.25" hidden="1">
      <c r="AD18" s="1369"/>
      <c r="AE18" s="1369"/>
      <c r="AF18" s="1369"/>
      <c r="AG18" s="337" t="str">
        <f>AH17&amp;"-"&amp;AJ17</f>
        <v>-</v>
      </c>
      <c r="AH18" s="2296"/>
      <c r="AI18" s="2296"/>
      <c r="AJ18" s="2296"/>
      <c r="AK18" s="2296"/>
      <c r="AS18" s="1164">
        <v>0</v>
      </c>
    </row>
    <row customHeight="1" ht="14.25" hidden="1">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14.699999999999998">
      <c r="Q26" s="385"/>
      <c r="R26" s="385"/>
      <c r="S26" s="22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6"/>
      <c r="U26" s="2276"/>
      <c r="V26" s="2276"/>
      <c r="W26" s="2276"/>
      <c r="X26" s="2276"/>
      <c r="Y26" s="2276"/>
      <c r="Z26" s="2276"/>
      <c r="AA26" s="2276"/>
      <c r="AB26" s="2276"/>
      <c r="AC26" s="2276"/>
      <c r="AD26" s="2276"/>
      <c r="AE26" s="2276"/>
      <c r="AF26" s="2276"/>
      <c r="AG26" s="2276"/>
      <c r="AH26" s="2276"/>
      <c r="AI26" s="2276"/>
      <c r="AJ26" s="2276"/>
      <c r="AK26" s="1252"/>
      <c r="AS26" s="1164">
        <v>14</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18.7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164">
        <v>14</v>
      </c>
    </row>
    <row customHeight="1" ht="35.699999999999996">
      <c r="Q40" s="385"/>
      <c r="R40" s="385"/>
      <c r="S40" s="2301"/>
      <c r="T40" s="2237"/>
      <c r="U40" s="1040"/>
      <c r="V40" s="2288" t="s">
        <v>444</v>
      </c>
      <c r="W40" s="2311" t="s">
        <v>445</v>
      </c>
      <c r="X40" s="2290" t="s">
        <v>446</v>
      </c>
      <c r="Y40" s="2291"/>
      <c r="Z40" s="2290" t="s">
        <v>460</v>
      </c>
      <c r="AA40" s="2297"/>
      <c r="AB40" s="2291"/>
      <c r="AC40" s="2306"/>
      <c r="AD40" s="2288" t="s">
        <v>444</v>
      </c>
      <c r="AE40" s="2311" t="s">
        <v>445</v>
      </c>
      <c r="AF40" s="2290" t="s">
        <v>446</v>
      </c>
      <c r="AG40" s="2291"/>
      <c r="AH40" s="2290" t="s">
        <v>447</v>
      </c>
      <c r="AI40" s="2297"/>
      <c r="AJ40" s="2291"/>
      <c r="AK40" s="2306"/>
      <c r="AL40" s="2309"/>
      <c r="AM40" s="2155"/>
      <c r="AS40" s="1164">
        <v>34</v>
      </c>
    </row>
    <row customHeight="1" ht="35.699999999999996">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Q41" s="385"/>
      <c r="R41" s="385"/>
      <c r="S41" s="2301"/>
      <c r="T41" s="2237"/>
      <c r="U41" s="311"/>
      <c r="V41" s="2289"/>
      <c r="W41" s="2312"/>
      <c r="X41" s="1231" t="s">
        <v>455</v>
      </c>
      <c r="Y41" s="1231" t="s">
        <v>456</v>
      </c>
      <c r="Z41" s="1347" t="s">
        <v>457</v>
      </c>
      <c r="AA41" s="2298" t="s">
        <v>458</v>
      </c>
      <c r="AB41" s="2299"/>
      <c r="AC41" s="2307"/>
      <c r="AD41" s="2289"/>
      <c r="AE41" s="2312"/>
      <c r="AF41" s="1231" t="s">
        <v>455</v>
      </c>
      <c r="AG41" s="1231" t="s">
        <v>456</v>
      </c>
      <c r="AH41" s="1347" t="s">
        <v>457</v>
      </c>
      <c r="AI41" s="2298" t="s">
        <v>458</v>
      </c>
      <c r="AJ41" s="2299"/>
      <c r="AK41" s="2307"/>
      <c r="AL41" s="2310"/>
      <c r="AM41" s="2155"/>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344">
        <f>OFFSET(V42,0,-1)+1</f>
        <v>3</v>
      </c>
      <c r="W42" s="1344"/>
      <c r="X42" s="1344">
        <f>OFFSET(X42,0,-1)+1</f>
        <v>1</v>
      </c>
      <c r="Y42" s="1344">
        <f>OFFSET(Y42,0,-1)+1</f>
        <v>2</v>
      </c>
      <c r="Z42" s="1344">
        <f>OFFSET(Z42,0,-1)+1</f>
        <v>3</v>
      </c>
      <c r="AA42" s="2300">
        <f>OFFSET(AA42,0,-1)+1</f>
        <v>4</v>
      </c>
      <c r="AB42" s="2300"/>
      <c r="AC42" s="1344">
        <f>OFFSET(AC42,0,-2)+1</f>
        <v>5</v>
      </c>
      <c r="AD42" s="1344">
        <f>OFFSET(AD42,0,-1)+1</f>
        <v>6</v>
      </c>
      <c r="AE42" s="1344"/>
      <c r="AF42" s="1344">
        <f>OFFSET(AF42,0,-1)+1</f>
        <v>1</v>
      </c>
      <c r="AG42" s="1344">
        <f>OFFSET(AG42,0,-1)+1</f>
        <v>2</v>
      </c>
      <c r="AH42" s="1344">
        <f>OFFSET(AH42,0,-1)+1</f>
        <v>3</v>
      </c>
      <c r="AI42" s="2300">
        <f>OFFSET(AI42,0,-1)+1</f>
        <v>4</v>
      </c>
      <c r="AJ42" s="2300"/>
      <c r="AK42" s="1344">
        <f>OFFSET(AK42,0,-2)+1</f>
        <v>5</v>
      </c>
      <c r="AL42" s="1254">
        <f>OFFSET(AL42,0,-1)</f>
        <v>5</v>
      </c>
      <c r="AM42" s="1344">
        <f>OFFSET(AM42,0,-1)+1</f>
        <v>6</v>
      </c>
      <c r="AN42" s="520"/>
      <c r="AO42" s="520"/>
      <c r="AP42" s="520"/>
      <c r="AQ42" s="520"/>
      <c r="AR42" s="520"/>
      <c r="AS42" s="505">
        <v>0</v>
      </c>
    </row>
    <row customHeight="1" ht="22.049999999999997">
      <c r="A43" s="1372" t="s">
        <v>178</v>
      </c>
      <c r="B43" s="1372"/>
      <c r="C43" s="1372"/>
      <c r="D43" s="1372"/>
      <c r="E43" s="2286">
        <v>1</v>
      </c>
      <c r="F43" s="1372"/>
      <c r="G43" s="1372"/>
      <c r="H43" s="1372"/>
      <c r="I43" s="1372"/>
      <c r="J43" s="1372"/>
      <c r="K43" s="1372"/>
      <c r="L43" s="1373"/>
      <c r="M43" s="1374"/>
      <c r="N43" s="1374"/>
      <c r="O43" s="1374"/>
      <c r="P43" s="370"/>
      <c r="Q43" s="369"/>
      <c r="R43" s="364"/>
      <c r="S43" s="1345">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178</v>
      </c>
      <c r="B44" s="1372" t="s">
        <v>179</v>
      </c>
      <c r="C44" s="1372"/>
      <c r="D44" s="1372"/>
      <c r="E44" s="2287"/>
      <c r="F44" s="2286">
        <v>1</v>
      </c>
      <c r="G44" s="1372"/>
      <c r="H44" s="1372"/>
      <c r="I44" s="1372"/>
      <c r="J44" s="1372"/>
      <c r="K44" s="1372"/>
      <c r="L44" s="1373"/>
      <c r="M44" s="1374"/>
      <c r="N44" s="1374"/>
      <c r="O44" s="1374"/>
      <c r="P44" s="1341"/>
      <c r="Q44" s="361"/>
      <c r="R44" s="362"/>
      <c r="S44" s="1345"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21</v>
      </c>
    </row>
    <row customHeight="1" ht="24">
      <c r="A45" s="1372" t="s">
        <v>178</v>
      </c>
      <c r="B45" s="1372" t="s">
        <v>179</v>
      </c>
      <c r="C45" s="1372" t="s">
        <v>180</v>
      </c>
      <c r="D45" s="1372"/>
      <c r="E45" s="2287"/>
      <c r="F45" s="2287"/>
      <c r="G45" s="2286">
        <v>1</v>
      </c>
      <c r="H45" s="1372"/>
      <c r="I45" s="1372"/>
      <c r="J45" s="1372"/>
      <c r="K45" s="1372"/>
      <c r="L45" s="1373"/>
      <c r="M45" s="1374"/>
      <c r="N45" s="1374"/>
      <c r="O45" s="1374"/>
      <c r="P45" s="363"/>
      <c r="Q45" s="361"/>
      <c r="R45" s="362"/>
      <c r="S45" s="1345"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2.049999999999997">
      <c r="A46" s="1372" t="s">
        <v>178</v>
      </c>
      <c r="B46" s="1372" t="s">
        <v>179</v>
      </c>
      <c r="C46" s="1372" t="s">
        <v>180</v>
      </c>
      <c r="D46" s="1372" t="s">
        <v>181</v>
      </c>
      <c r="E46" s="2287"/>
      <c r="F46" s="2287"/>
      <c r="G46" s="2287"/>
      <c r="H46" s="2286">
        <v>1</v>
      </c>
      <c r="I46" s="1372"/>
      <c r="J46" s="1372"/>
      <c r="K46" s="1372"/>
      <c r="L46" s="1373"/>
      <c r="M46" s="1374"/>
      <c r="N46" s="1374"/>
      <c r="O46" s="1374"/>
      <c r="P46" s="363"/>
      <c r="Q46" s="361"/>
      <c r="R46" s="362"/>
      <c r="S46" s="1345"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21</v>
      </c>
    </row>
    <row customHeight="1" ht="49.5">
      <c r="A47" s="1372" t="s">
        <v>178</v>
      </c>
      <c r="B47" s="1372" t="s">
        <v>179</v>
      </c>
      <c r="C47" s="1372" t="s">
        <v>180</v>
      </c>
      <c r="D47" s="1372" t="s">
        <v>181</v>
      </c>
      <c r="E47" s="2287"/>
      <c r="F47" s="2287"/>
      <c r="G47" s="2287"/>
      <c r="H47" s="2287"/>
      <c r="I47" s="2284" t="str">
        <f>S46&amp;".1"</f>
        <v>....1</v>
      </c>
      <c r="J47" s="1372"/>
      <c r="K47" s="1372"/>
      <c r="L47" s="1373" t="s">
        <v>418</v>
      </c>
      <c r="P47" s="2285">
        <v>1</v>
      </c>
      <c r="Q47" s="1340"/>
      <c r="R47" s="365"/>
      <c r="S47" s="1345" t="str">
        <f>$I47</f>
        <v>....1</v>
      </c>
      <c r="T47" s="294" t="s">
        <v>419</v>
      </c>
      <c r="U47" s="309"/>
      <c r="V47" s="2273"/>
      <c r="W47" s="2274"/>
      <c r="X47" s="2274"/>
      <c r="Y47" s="2274"/>
      <c r="Z47" s="2274"/>
      <c r="AA47" s="2274"/>
      <c r="AB47" s="2274"/>
      <c r="AC47" s="2275"/>
      <c r="AD47" s="2273"/>
      <c r="AE47" s="2274"/>
      <c r="AF47" s="2274"/>
      <c r="AG47" s="2274"/>
      <c r="AH47" s="2274"/>
      <c r="AI47" s="2274"/>
      <c r="AJ47" s="2274"/>
      <c r="AK47" s="2274"/>
      <c r="AL47" s="2275"/>
      <c r="AM47" s="1267" t="s">
        <v>420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2.049999999999997">
      <c r="A48" s="1372" t="s">
        <v>178</v>
      </c>
      <c r="B48" s="1372" t="s">
        <v>179</v>
      </c>
      <c r="C48" s="1372" t="s">
        <v>180</v>
      </c>
      <c r="D48" s="1372" t="s">
        <v>181</v>
      </c>
      <c r="E48" s="2287"/>
      <c r="F48" s="2287"/>
      <c r="G48" s="2287"/>
      <c r="H48" s="2287"/>
      <c r="I48" s="2314"/>
      <c r="J48" s="2284" t="str">
        <f>I47&amp;".1"</f>
        <v>....1.1</v>
      </c>
      <c r="K48" s="1372"/>
      <c r="L48" s="1373" t="s">
        <v>421</v>
      </c>
      <c r="P48" s="2285"/>
      <c r="Q48" s="2285">
        <v>1</v>
      </c>
      <c r="R48" s="366"/>
      <c r="S48" s="1345" t="str">
        <f>$J48</f>
        <v>....1.1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21</v>
      </c>
    </row>
    <row customHeight="1" ht="22.049999999999997">
      <c r="A49" s="1372" t="s">
        <v>178</v>
      </c>
      <c r="B49" s="1372" t="s">
        <v>179</v>
      </c>
      <c r="C49" s="1372" t="s">
        <v>180</v>
      </c>
      <c r="D49" s="1372" t="s">
        <v>181</v>
      </c>
      <c r="E49" s="2287"/>
      <c r="F49" s="2287"/>
      <c r="G49" s="2287"/>
      <c r="H49" s="2287"/>
      <c r="I49" s="2314"/>
      <c r="J49" s="2314"/>
      <c r="K49" s="2284" t="str">
        <f>J48&amp;".1"</f>
        <v>....1.1.1</v>
      </c>
      <c r="L49" s="1373" t="s">
        <v>424</v>
      </c>
      <c r="P49" s="2285"/>
      <c r="Q49" s="2285"/>
      <c r="R49" s="366">
        <v>1</v>
      </c>
      <c r="S49" s="1345" t="str">
        <f>$K49</f>
        <v>....1.1.1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425</v>
      </c>
      <c r="AN49" s="520">
        <f>STRCHECKDATE(V50:AL50)</f>
      </c>
      <c r="AO49" s="509"/>
      <c r="AP49" s="509" t="str">
        <f>IF(T49="","",T49)</f>
        <v/>
      </c>
      <c r="AQ49" s="509"/>
      <c r="AR49" s="509"/>
      <c r="AS49" s="1164">
        <v>21</v>
      </c>
    </row>
    <row customHeight="1" ht="1.05">
      <c r="A50" s="1372" t="s">
        <v>178</v>
      </c>
      <c r="B50" s="1372" t="s">
        <v>179</v>
      </c>
      <c r="C50" s="1372" t="s">
        <v>180</v>
      </c>
      <c r="D50" s="1372" t="s">
        <v>181</v>
      </c>
      <c r="E50" s="2287"/>
      <c r="F50" s="2287"/>
      <c r="G50" s="2287"/>
      <c r="H50" s="2287"/>
      <c r="I50" s="2314"/>
      <c r="J50" s="2314"/>
      <c r="K50" s="2284"/>
      <c r="L50" s="1373"/>
      <c r="P50" s="2285"/>
      <c r="Q50" s="2285"/>
      <c r="R50" s="366"/>
      <c r="S50" s="1351"/>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1</v>
      </c>
    </row>
    <row customHeight="1" ht="11.549999999999999">
      <c r="A51" s="1372" t="s">
        <v>178</v>
      </c>
      <c r="B51" s="1372" t="s">
        <v>179</v>
      </c>
      <c r="C51" s="1372" t="s">
        <v>180</v>
      </c>
      <c r="D51" s="1372" t="s">
        <v>181</v>
      </c>
      <c r="E51" s="2287"/>
      <c r="F51" s="2287"/>
      <c r="G51" s="2287"/>
      <c r="H51" s="2287"/>
      <c r="I51" s="2314"/>
      <c r="J51" s="2284"/>
      <c r="K51" s="1372"/>
      <c r="L51" s="1373"/>
      <c r="P51" s="2285"/>
      <c r="Q51" s="2285"/>
      <c r="R51" s="365"/>
      <c r="S51" s="1287"/>
      <c r="T51" s="297"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178</v>
      </c>
      <c r="B52" s="1372" t="s">
        <v>179</v>
      </c>
      <c r="C52" s="1372" t="s">
        <v>180</v>
      </c>
      <c r="D52" s="1372" t="s">
        <v>181</v>
      </c>
      <c r="E52" s="2287"/>
      <c r="F52" s="2287"/>
      <c r="G52" s="2287"/>
      <c r="H52" s="2287"/>
      <c r="I52" s="2284"/>
      <c r="J52" s="1372"/>
      <c r="K52" s="1372"/>
      <c r="L52" s="1373"/>
      <c r="P52" s="2285"/>
      <c r="Q52" s="1340"/>
      <c r="R52" s="365"/>
      <c r="S52" s="1287"/>
      <c r="T52" s="296"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178</v>
      </c>
      <c r="B53" s="1372" t="s">
        <v>179</v>
      </c>
      <c r="C53" s="1372" t="s">
        <v>180</v>
      </c>
      <c r="D53" s="1372" t="s">
        <v>181</v>
      </c>
      <c r="E53" s="2287"/>
      <c r="F53" s="2287"/>
      <c r="G53" s="2287"/>
      <c r="H53" s="2286"/>
      <c r="I53" s="1372"/>
      <c r="J53" s="1372"/>
      <c r="K53" s="1372"/>
      <c r="L53" s="1373"/>
      <c r="M53" s="1374"/>
      <c r="N53" s="1374"/>
      <c r="O53" s="546"/>
      <c r="P53" s="369"/>
      <c r="Q53" s="384"/>
      <c r="R53" s="364"/>
      <c r="S53" s="1287"/>
      <c r="T53" s="374" t="s">
        <v>428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178</v>
      </c>
      <c r="B54" s="1352" t="s">
        <v>179</v>
      </c>
      <c r="C54" s="1352" t="s">
        <v>180</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178</v>
      </c>
      <c r="B55" s="1352" t="s">
        <v>179</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178</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27</v>
      </c>
    </row>
    <row customHeight="1" ht="65.25">
      <c r="O60" s="546"/>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62</v>
      </c>
    </row>
    <row customHeight="1" ht="14.699999999999998">
      <c r="O61" s="546"/>
      <c r="AS61" s="1164">
        <v>14</v>
      </c>
    </row>
    <row customHeight="1" ht="18.75">
      <c r="O62" s="546"/>
      <c r="S62" s="1262"/>
      <c r="T62" s="2313"/>
      <c r="U62" s="2313"/>
      <c r="V62" s="2313"/>
      <c r="W62" s="2313"/>
      <c r="X62" s="2313"/>
      <c r="Y62" s="2313"/>
      <c r="Z62" s="2313"/>
      <c r="AA62" s="2313"/>
      <c r="AB62" s="2313"/>
      <c r="AC62" s="2313"/>
      <c r="AD62" s="2313"/>
      <c r="AE62" s="2313"/>
      <c r="AF62" s="2313"/>
      <c r="AG62" s="2313"/>
      <c r="AH62" s="2313"/>
      <c r="AI62" s="2313"/>
      <c r="AJ62" s="2313"/>
      <c r="AK62" s="2313"/>
      <c r="AL62" s="2313"/>
      <c r="AM62" s="2313"/>
      <c r="AS62" s="1164">
        <v>18</v>
      </c>
    </row>
    <row customHeight="1" ht="18.75">
      <c r="O63" s="546"/>
      <c r="T63" s="2313"/>
      <c r="U63" s="2313"/>
      <c r="V63" s="2313"/>
      <c r="W63" s="2313"/>
      <c r="X63" s="2313"/>
      <c r="Y63" s="2313"/>
      <c r="Z63" s="2313"/>
      <c r="AA63" s="2313"/>
      <c r="AB63" s="2313"/>
      <c r="AC63" s="2313"/>
      <c r="AD63" s="2313"/>
      <c r="AE63" s="2313"/>
      <c r="AF63" s="2313"/>
      <c r="AG63" s="2313"/>
      <c r="AH63" s="2313"/>
      <c r="AI63" s="2313"/>
      <c r="AJ63" s="2313"/>
      <c r="AK63" s="2313"/>
      <c r="AL63" s="2313"/>
      <c r="AM63" s="2313"/>
      <c r="AS63" s="1164">
        <v>18</v>
      </c>
    </row>
    <row customHeight="1" ht="29.25">
      <c r="O64" s="546"/>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28</v>
      </c>
    </row>
    <row customHeight="1" ht="22.5" hidden="1">
      <c r="A65" s="1169" t="s">
        <v>83</v>
      </c>
      <c r="B65" s="1169">
        <v>0</v>
      </c>
      <c r="C65" s="1169">
        <v>0</v>
      </c>
      <c r="D65" s="1169">
        <v>0</v>
      </c>
      <c r="E65" s="1169">
        <v>0</v>
      </c>
      <c r="F65" s="1169">
        <v>0</v>
      </c>
      <c r="G65" s="1169">
        <v>0</v>
      </c>
      <c r="H65" s="1169">
        <v>0</v>
      </c>
      <c r="I65" s="1169">
        <v>0</v>
      </c>
      <c r="J65" s="1169">
        <v>0</v>
      </c>
      <c r="K65" s="1169">
        <v>0</v>
      </c>
      <c r="L65" s="1338">
        <v>0</v>
      </c>
      <c r="M65" s="1371">
        <v>0</v>
      </c>
      <c r="N65" s="1371">
        <v>0</v>
      </c>
      <c r="O65" s="1371">
        <v>0</v>
      </c>
      <c r="P65" s="1337">
        <v>3</v>
      </c>
      <c r="Q65" s="353">
        <v>3</v>
      </c>
      <c r="R65" s="353">
        <v>3</v>
      </c>
      <c r="S65" s="590">
        <v>12</v>
      </c>
      <c r="T65" s="1164">
        <v>31</v>
      </c>
      <c r="U65" s="1164">
        <v>0</v>
      </c>
      <c r="V65" s="1164">
        <v>0</v>
      </c>
      <c r="W65" s="1164">
        <v>0</v>
      </c>
      <c r="X65" s="1164">
        <v>0</v>
      </c>
      <c r="Y65" s="1164">
        <v>0</v>
      </c>
      <c r="Z65" s="1164">
        <v>0</v>
      </c>
      <c r="AA65" s="1164">
        <v>0</v>
      </c>
      <c r="AB65" s="1164">
        <v>0</v>
      </c>
      <c r="AC65" s="1164">
        <v>0</v>
      </c>
      <c r="AD65" s="1164">
        <v>24</v>
      </c>
      <c r="AE65" s="1164">
        <v>0</v>
      </c>
      <c r="AF65" s="1164">
        <v>24</v>
      </c>
      <c r="AG65" s="1164">
        <v>24</v>
      </c>
      <c r="AH65" s="1164">
        <v>11</v>
      </c>
      <c r="AI65" s="1164">
        <v>3</v>
      </c>
      <c r="AJ65" s="1164">
        <v>11</v>
      </c>
      <c r="AK65" s="1164">
        <v>0</v>
      </c>
      <c r="AL65" s="1164">
        <v>4</v>
      </c>
      <c r="AM65" s="1164">
        <v>115</v>
      </c>
      <c r="AN65" s="520">
        <v>10</v>
      </c>
      <c r="AO65" s="520">
        <v>10</v>
      </c>
      <c r="AP65" s="520">
        <v>10</v>
      </c>
      <c r="AQ65" s="520">
        <v>10</v>
      </c>
      <c r="AR65" s="520">
        <v>10</v>
      </c>
      <c r="AS65" s="1164">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0081FB-CDDF-1D67-7183-0.9EDCFAB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1" style="1644" width="11.421875" hidden="1" customWidth="1"/>
    <col min="12" max="12" style="2153" width="19.140625" hidden="1" customWidth="1"/>
    <col min="13" max="14" style="2425" width="12.28125" hidden="1" customWidth="1"/>
    <col min="15" max="15" style="2425" width="23.421875" hidden="1" customWidth="1"/>
    <col min="16" max="16" style="2425" width="3.00390625"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S1" s="1640" t="s">
        <v>14</v>
      </c>
    </row>
    <row customHeight="1" ht="21" hidden="1">
      <c r="A2" s="1276"/>
      <c r="B2" s="1276"/>
      <c r="C2" s="1276"/>
      <c r="D2" s="1276"/>
      <c r="E2" s="2317">
        <v>1</v>
      </c>
      <c r="F2" s="1276"/>
      <c r="G2" s="1276"/>
      <c r="H2" s="1276"/>
      <c r="I2" s="1276"/>
      <c r="J2" s="1276"/>
      <c r="K2" s="1276"/>
      <c r="L2" s="1319"/>
      <c r="M2" s="1619"/>
      <c r="N2" s="1619"/>
      <c r="O2" s="1619"/>
      <c r="P2" s="1599"/>
      <c r="Q2" s="369"/>
      <c r="R2" s="364"/>
      <c r="S2" s="1964">
        <f>INDEX(PT_DIFFERENTIATION_NUM_NTAR,MATCH(A2,PT_DIFFERENTIATION_NTAR_ID,0))</f>
      </c>
      <c r="T2" s="1534"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1633"/>
      <c r="AP2" s="1633" t="str">
        <f>IF(T2="","",T2)</f>
        <v>Наименование тарифа</v>
      </c>
      <c r="AQ2" s="1633"/>
      <c r="AR2" s="1633"/>
      <c r="AS2" s="1640">
        <v>0</v>
      </c>
    </row>
    <row customHeight="1" ht="21" hidden="1">
      <c r="A3" s="1276"/>
      <c r="B3" s="1276"/>
      <c r="C3" s="1276"/>
      <c r="D3" s="1276"/>
      <c r="E3" s="2318"/>
      <c r="F3" s="2317">
        <v>1</v>
      </c>
      <c r="G3" s="1276"/>
      <c r="H3" s="1276"/>
      <c r="I3" s="1276"/>
      <c r="J3" s="1276"/>
      <c r="K3" s="1276"/>
      <c r="L3" s="1319"/>
      <c r="M3" s="1619"/>
      <c r="N3" s="1619"/>
      <c r="O3" s="1619"/>
      <c r="P3" s="1946"/>
      <c r="Q3" s="361"/>
      <c r="R3" s="362"/>
      <c r="S3" s="1964">
        <f>INDEX(PT_DIFFERENTIATION_NUM_TER,MATCH(B3,PT_DIFFERENTIATION_TER_ID,0))</f>
      </c>
      <c r="T3" s="1531"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1633"/>
      <c r="AP3" s="1633" t="str">
        <f>IF(T3="","",T3)</f>
        <v>Территория действия тарифа</v>
      </c>
      <c r="AQ3" s="1633"/>
      <c r="AR3" s="1633"/>
      <c r="AS3" s="1640">
        <v>0</v>
      </c>
    </row>
    <row customHeight="1" ht="23.25" hidden="1">
      <c r="A4" s="1276"/>
      <c r="B4" s="1276"/>
      <c r="C4" s="1276"/>
      <c r="D4" s="1276"/>
      <c r="E4" s="2318"/>
      <c r="F4" s="2318"/>
      <c r="G4" s="2317">
        <v>1</v>
      </c>
      <c r="H4" s="1276"/>
      <c r="I4" s="1276"/>
      <c r="J4" s="1276"/>
      <c r="K4" s="1276"/>
      <c r="L4" s="1319"/>
      <c r="M4" s="1619"/>
      <c r="N4" s="1619"/>
      <c r="O4" s="1619"/>
      <c r="P4" s="363"/>
      <c r="Q4" s="361"/>
      <c r="R4" s="362"/>
      <c r="S4" s="1964">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1633"/>
      <c r="AP4" s="1633" t="str">
        <f>IF(T4="","",T4)</f>
        <v>Наименование системы теплоснабжения </v>
      </c>
      <c r="AQ4" s="1633"/>
      <c r="AR4" s="1633"/>
      <c r="AS4" s="1640">
        <v>0</v>
      </c>
    </row>
    <row customHeight="1" ht="21" hidden="1">
      <c r="A5" s="1276"/>
      <c r="B5" s="1276"/>
      <c r="C5" s="1276"/>
      <c r="D5" s="1276"/>
      <c r="E5" s="2318"/>
      <c r="F5" s="2318"/>
      <c r="G5" s="2318"/>
      <c r="H5" s="2317">
        <v>1</v>
      </c>
      <c r="I5" s="1276"/>
      <c r="J5" s="1276"/>
      <c r="K5" s="1276"/>
      <c r="L5" s="1319"/>
      <c r="M5" s="1619"/>
      <c r="N5" s="1619"/>
      <c r="O5" s="1619"/>
      <c r="P5" s="363"/>
      <c r="Q5" s="361"/>
      <c r="R5" s="362"/>
      <c r="S5" s="1964">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1633"/>
      <c r="AP5" s="1633" t="str">
        <f>IF(T5="","",T5)</f>
        <v>Источник тепловой энергии  </v>
      </c>
      <c r="AQ5" s="1633"/>
      <c r="AR5" s="1633"/>
      <c r="AS5" s="1640">
        <v>0</v>
      </c>
    </row>
    <row customHeight="1" ht="47.25" hidden="1">
      <c r="A6" s="1276"/>
      <c r="B6" s="1276"/>
      <c r="C6" s="1276"/>
      <c r="D6" s="1276"/>
      <c r="E6" s="2318"/>
      <c r="F6" s="2318"/>
      <c r="G6" s="2318"/>
      <c r="H6" s="2318"/>
      <c r="I6" s="2155">
        <f>S5&amp;".1"</f>
      </c>
      <c r="J6" s="1276"/>
      <c r="K6" s="1276"/>
      <c r="L6" s="1319" t="s">
        <v>418</v>
      </c>
      <c r="M6" s="1644"/>
      <c r="P6" s="2285">
        <v>1</v>
      </c>
      <c r="Q6" s="1960"/>
      <c r="R6" s="365"/>
      <c r="S6" s="1964">
        <f>$I6</f>
      </c>
      <c r="T6" s="294" t="s">
        <v>419</v>
      </c>
      <c r="U6" s="309"/>
      <c r="V6" s="2273"/>
      <c r="W6" s="2274"/>
      <c r="X6" s="2274"/>
      <c r="Y6" s="2274"/>
      <c r="Z6" s="2274"/>
      <c r="AA6" s="2274"/>
      <c r="AB6" s="2274"/>
      <c r="AC6" s="2275"/>
      <c r="AD6" s="2273"/>
      <c r="AE6" s="2274"/>
      <c r="AF6" s="2274"/>
      <c r="AG6" s="2274"/>
      <c r="AH6" s="2274"/>
      <c r="AI6" s="2274"/>
      <c r="AJ6" s="2274"/>
      <c r="AK6" s="2274"/>
      <c r="AL6" s="2275"/>
      <c r="AM6" s="1267" t="s">
        <v>420</v>
      </c>
      <c r="AO6" s="1633"/>
      <c r="AP6" s="1633" t="str">
        <f>IF(T6="","",T6)</f>
        <v>Схема подключения теплопотребляющей установки к коллектору источника тепловой энергии</v>
      </c>
      <c r="AQ6" s="1633"/>
      <c r="AR6" s="1633"/>
      <c r="AS6" s="1640">
        <v>0</v>
      </c>
    </row>
    <row customHeight="1" ht="21" hidden="1">
      <c r="A7" s="1276"/>
      <c r="B7" s="1276"/>
      <c r="C7" s="1276"/>
      <c r="D7" s="1276"/>
      <c r="E7" s="2318"/>
      <c r="F7" s="2318"/>
      <c r="G7" s="2318"/>
      <c r="H7" s="2318"/>
      <c r="I7" s="2129"/>
      <c r="J7" s="2155">
        <f>I6&amp;".1"</f>
      </c>
      <c r="K7" s="1276"/>
      <c r="L7" s="1319" t="s">
        <v>421</v>
      </c>
      <c r="M7" s="1644"/>
      <c r="N7" s="1640"/>
      <c r="P7" s="2285"/>
      <c r="Q7" s="2285">
        <v>1</v>
      </c>
      <c r="R7" s="366"/>
      <c r="S7" s="1964">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1633"/>
      <c r="AP7" s="1633" t="str">
        <f>IF(T7="","",T7)</f>
        <v>Группа потребителей</v>
      </c>
      <c r="AQ7" s="1633"/>
      <c r="AR7" s="1633"/>
      <c r="AS7" s="1640">
        <v>0</v>
      </c>
    </row>
    <row customHeight="1" ht="21" hidden="1">
      <c r="A8" s="1276"/>
      <c r="B8" s="1276"/>
      <c r="C8" s="1276"/>
      <c r="D8" s="1276"/>
      <c r="E8" s="2318"/>
      <c r="F8" s="2318"/>
      <c r="G8" s="2318"/>
      <c r="H8" s="2318"/>
      <c r="I8" s="2129"/>
      <c r="J8" s="2129"/>
      <c r="K8" s="2155">
        <f>J7&amp;".1"</f>
      </c>
      <c r="L8" s="1319" t="s">
        <v>424</v>
      </c>
      <c r="M8" s="1644"/>
      <c r="N8" s="1640"/>
      <c r="O8" s="1640"/>
      <c r="P8" s="2285"/>
      <c r="Q8" s="2285"/>
      <c r="R8" s="366">
        <v>1</v>
      </c>
      <c r="S8" s="1964">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1645">
        <f>STRCHECKDATE(V9:AL9)</f>
      </c>
      <c r="AO8" s="1633"/>
      <c r="AP8" s="1633" t="str">
        <f>IF(T8="","",T8)</f>
        <v/>
      </c>
      <c r="AQ8" s="1633"/>
      <c r="AR8" s="1633"/>
      <c r="AS8" s="1640">
        <v>0</v>
      </c>
    </row>
    <row customHeight="1" ht="0.75" hidden="1">
      <c r="A9" s="1276"/>
      <c r="B9" s="1276"/>
      <c r="C9" s="1276"/>
      <c r="D9" s="1276"/>
      <c r="E9" s="2318"/>
      <c r="F9" s="2318"/>
      <c r="G9" s="2318"/>
      <c r="H9" s="2318"/>
      <c r="I9" s="2129"/>
      <c r="J9" s="2129"/>
      <c r="K9" s="2155"/>
      <c r="L9" s="1319"/>
      <c r="M9" s="1644"/>
      <c r="N9" s="1640"/>
      <c r="O9" s="1640"/>
      <c r="P9" s="2285"/>
      <c r="Q9" s="2285"/>
      <c r="R9" s="366"/>
      <c r="S9" s="1973"/>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1633"/>
      <c r="AP9" s="1633" t="str">
        <f>IF(T9="","",T9)</f>
        <v/>
      </c>
      <c r="AQ9" s="1633"/>
      <c r="AR9" s="1633"/>
      <c r="AS9" s="1640">
        <v>0</v>
      </c>
    </row>
    <row customHeight="1" ht="15" hidden="1">
      <c r="A10" s="1276"/>
      <c r="B10" s="1276"/>
      <c r="C10" s="1276"/>
      <c r="D10" s="1276"/>
      <c r="E10" s="2318"/>
      <c r="F10" s="2318"/>
      <c r="G10" s="2318"/>
      <c r="H10" s="2318"/>
      <c r="I10" s="2129"/>
      <c r="J10" s="2155"/>
      <c r="K10" s="1276"/>
      <c r="L10" s="1319"/>
      <c r="M10" s="1644"/>
      <c r="N10" s="1640"/>
      <c r="P10" s="2285"/>
      <c r="Q10" s="2285"/>
      <c r="R10" s="365"/>
      <c r="S10" s="1287"/>
      <c r="T10" s="297" t="s">
        <v>426</v>
      </c>
      <c r="U10" s="609"/>
      <c r="V10" s="609"/>
      <c r="W10" s="609"/>
      <c r="X10" s="609"/>
      <c r="Y10" s="609"/>
      <c r="Z10" s="609"/>
      <c r="AA10" s="609"/>
      <c r="AB10" s="609"/>
      <c r="AC10" s="609"/>
      <c r="AD10" s="609"/>
      <c r="AE10" s="609"/>
      <c r="AF10" s="609"/>
      <c r="AG10" s="609"/>
      <c r="AH10" s="609"/>
      <c r="AI10" s="609"/>
      <c r="AJ10" s="609"/>
      <c r="AK10" s="609"/>
      <c r="AL10" s="333"/>
      <c r="AM10" s="2283"/>
      <c r="AO10" s="1633"/>
      <c r="AP10" s="1633" t="str">
        <f>IF(T10="","",T10)</f>
        <v>Добавить вид теплоносителя (параметры теплоносителя)</v>
      </c>
      <c r="AQ10" s="1633"/>
      <c r="AR10" s="1633"/>
      <c r="AS10" s="1640">
        <v>0</v>
      </c>
    </row>
    <row customHeight="1" ht="15" hidden="1">
      <c r="A11" s="1276"/>
      <c r="B11" s="1276"/>
      <c r="C11" s="1276"/>
      <c r="D11" s="1276"/>
      <c r="E11" s="2318"/>
      <c r="F11" s="2318"/>
      <c r="G11" s="2318"/>
      <c r="H11" s="2318"/>
      <c r="I11" s="2155"/>
      <c r="J11" s="1276"/>
      <c r="K11" s="1276"/>
      <c r="L11" s="1319"/>
      <c r="M11" s="1644"/>
      <c r="P11" s="2285"/>
      <c r="Q11" s="1960"/>
      <c r="R11" s="365"/>
      <c r="S11" s="1287"/>
      <c r="T11" s="296" t="s">
        <v>427</v>
      </c>
      <c r="U11" s="609"/>
      <c r="V11" s="609"/>
      <c r="W11" s="609"/>
      <c r="X11" s="609"/>
      <c r="Y11" s="609"/>
      <c r="Z11" s="609"/>
      <c r="AA11" s="609"/>
      <c r="AB11" s="609"/>
      <c r="AC11" s="375"/>
      <c r="AD11" s="609"/>
      <c r="AE11" s="609"/>
      <c r="AF11" s="609"/>
      <c r="AG11" s="609"/>
      <c r="AH11" s="609"/>
      <c r="AI11" s="609"/>
      <c r="AJ11" s="609"/>
      <c r="AK11" s="375"/>
      <c r="AL11" s="609"/>
      <c r="AM11" s="312"/>
      <c r="AO11" s="1633"/>
      <c r="AP11" s="1633" t="str">
        <f>IF(T11="","",T11)</f>
        <v>Добавить группу потребителей</v>
      </c>
      <c r="AQ11" s="1633"/>
      <c r="AR11" s="1633"/>
      <c r="AS11" s="1640">
        <v>0</v>
      </c>
    </row>
    <row customHeight="1" ht="14.25" hidden="1">
      <c r="A12" s="1276"/>
      <c r="B12" s="1276"/>
      <c r="C12" s="1276"/>
      <c r="D12" s="1276"/>
      <c r="E12" s="2318"/>
      <c r="F12" s="2318"/>
      <c r="G12" s="2318"/>
      <c r="H12" s="2317"/>
      <c r="I12" s="1276"/>
      <c r="J12" s="1276"/>
      <c r="K12" s="1276"/>
      <c r="L12" s="1319"/>
      <c r="M12" s="1619"/>
      <c r="N12" s="1619"/>
      <c r="O12" s="1644"/>
      <c r="P12" s="369"/>
      <c r="Q12" s="384"/>
      <c r="R12" s="364"/>
      <c r="S12" s="1287"/>
      <c r="T12" s="374" t="s">
        <v>428</v>
      </c>
      <c r="U12" s="609"/>
      <c r="V12" s="609"/>
      <c r="W12" s="609"/>
      <c r="X12" s="609"/>
      <c r="Y12" s="609"/>
      <c r="Z12" s="609"/>
      <c r="AA12" s="609"/>
      <c r="AB12" s="609"/>
      <c r="AC12" s="375"/>
      <c r="AD12" s="609"/>
      <c r="AE12" s="609"/>
      <c r="AF12" s="609"/>
      <c r="AG12" s="609"/>
      <c r="AH12" s="609"/>
      <c r="AI12" s="609"/>
      <c r="AJ12" s="609"/>
      <c r="AK12" s="375"/>
      <c r="AL12" s="609"/>
      <c r="AM12" s="312"/>
      <c r="AO12" s="1633"/>
      <c r="AP12" s="1633" t="str">
        <f>IF(T12="","",T12)</f>
        <v>Добавить схему подключения</v>
      </c>
      <c r="AQ12" s="1633"/>
      <c r="AR12" s="1633"/>
      <c r="AS12" s="1640">
        <v>0</v>
      </c>
    </row>
    <row s="1651" customFormat="1" customHeight="1" ht="0.75" hidden="1">
      <c r="A13" s="1383"/>
      <c r="B13" s="1383"/>
      <c r="C13" s="1383"/>
      <c r="D13" s="1383"/>
      <c r="E13" s="2318"/>
      <c r="F13" s="2318"/>
      <c r="G13" s="2317"/>
      <c r="H13" s="1383"/>
      <c r="I13" s="1383"/>
      <c r="J13" s="1383"/>
      <c r="K13" s="1383"/>
      <c r="L13" s="1386"/>
      <c r="M13" s="1387"/>
      <c r="N13" s="1387"/>
      <c r="O13" s="360"/>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1260"/>
      <c r="AP13" s="1260" t="str">
        <f>IF(T13="","",T13)</f>
        <v>Добавить источник для дифференциации</v>
      </c>
      <c r="AQ13" s="1260"/>
      <c r="AR13" s="1260"/>
      <c r="AS13" s="1651">
        <v>0</v>
      </c>
    </row>
    <row s="1651" customFormat="1" customHeight="1" ht="0.75" hidden="1">
      <c r="A14" s="1383"/>
      <c r="B14" s="1383"/>
      <c r="C14" s="1383"/>
      <c r="D14" s="1383"/>
      <c r="E14" s="2318"/>
      <c r="F14" s="2317"/>
      <c r="G14" s="1383"/>
      <c r="H14" s="1383"/>
      <c r="I14" s="1383"/>
      <c r="J14" s="1383"/>
      <c r="K14" s="1383"/>
      <c r="L14" s="1386"/>
      <c r="M14" s="1388"/>
      <c r="N14" s="1388"/>
      <c r="O14" s="36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1260"/>
      <c r="AP14" s="1260" t="str">
        <f>IF(T14="","",T14)</f>
        <v>Добавить централизованную систему для дифференциации</v>
      </c>
      <c r="AQ14" s="1260"/>
      <c r="AR14" s="1260"/>
      <c r="AS14" s="1651">
        <v>0</v>
      </c>
    </row>
    <row s="1651" customFormat="1" customHeight="1" ht="0.75" hidden="1">
      <c r="A15" s="1383"/>
      <c r="B15" s="1383"/>
      <c r="C15" s="1383"/>
      <c r="D15" s="1383"/>
      <c r="E15" s="2317"/>
      <c r="F15" s="1383"/>
      <c r="G15" s="1383"/>
      <c r="H15" s="1383"/>
      <c r="I15" s="1383"/>
      <c r="J15" s="1383"/>
      <c r="K15" s="1383"/>
      <c r="L15" s="1386"/>
      <c r="M15" s="1388"/>
      <c r="N15" s="1388"/>
      <c r="O15" s="36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1260"/>
      <c r="AP15" s="1260" t="str">
        <f>IF(T15="","",T15)</f>
        <v>Добавить территорию для дифференциации</v>
      </c>
      <c r="AQ15" s="1260"/>
      <c r="AR15" s="1260"/>
      <c r="AS15" s="1651">
        <v>0</v>
      </c>
    </row>
    <row customHeight="1" ht="14.25" hidden="1">
      <c r="AS16" s="1640">
        <v>0</v>
      </c>
    </row>
    <row customHeight="1" ht="14.25" hidden="1">
      <c r="AD17" s="1369"/>
      <c r="AE17" s="1369"/>
      <c r="AF17" s="1369"/>
      <c r="AG17" s="1370"/>
      <c r="AH17" s="2295"/>
      <c r="AI17" s="2296" t="s">
        <v>63</v>
      </c>
      <c r="AJ17" s="2295"/>
      <c r="AK17" s="2296" t="s">
        <v>63</v>
      </c>
      <c r="AS17" s="1640">
        <v>0</v>
      </c>
    </row>
    <row customHeight="1" ht="14.25" hidden="1">
      <c r="AD18" s="1369"/>
      <c r="AE18" s="1369"/>
      <c r="AF18" s="1369"/>
      <c r="AG18" s="337" t="str">
        <f>AH17&amp;"-"&amp;AJ17</f>
        <v>-</v>
      </c>
      <c r="AH18" s="2296"/>
      <c r="AI18" s="2296"/>
      <c r="AJ18" s="2296"/>
      <c r="AK18" s="2296"/>
      <c r="AS18" s="1640">
        <v>0</v>
      </c>
    </row>
    <row customHeight="1" ht="14.25" hidden="1">
      <c r="AS19" s="1640">
        <v>0</v>
      </c>
    </row>
    <row s="1375" customFormat="1" customHeight="1" ht="22.5" hidden="1">
      <c r="A20" s="1640"/>
      <c r="B20" s="1640"/>
      <c r="C20" s="1640"/>
      <c r="D20" s="1640"/>
      <c r="E20" s="1640"/>
      <c r="F20" s="1640"/>
      <c r="G20" s="1640"/>
      <c r="H20" s="1640"/>
      <c r="I20" s="1640"/>
      <c r="J20" s="1640"/>
      <c r="K20" s="1640"/>
      <c r="L20" s="1945"/>
      <c r="M20" s="1971"/>
      <c r="N20" s="1971"/>
      <c r="O20" s="1354" t="s">
        <v>432</v>
      </c>
      <c r="P20" s="1371"/>
      <c r="Q20" s="1380"/>
      <c r="R20" s="1380"/>
      <c r="S20" s="738"/>
      <c r="Z20" s="1376"/>
      <c r="AB20" s="1376"/>
      <c r="AH20" s="1376"/>
      <c r="AJ20" s="1376"/>
      <c r="AN20" s="1645"/>
      <c r="AO20" s="1645"/>
      <c r="AP20" s="1645"/>
      <c r="AQ20" s="1645"/>
      <c r="AR20" s="1645"/>
      <c r="AS20" s="1375">
        <v>0</v>
      </c>
    </row>
    <row s="1375" customFormat="1" customHeight="1" ht="14.25" hidden="1">
      <c r="A21" s="1640"/>
      <c r="B21" s="1640"/>
      <c r="C21" s="1640"/>
      <c r="D21" s="1640"/>
      <c r="E21" s="1640"/>
      <c r="F21" s="1640"/>
      <c r="G21" s="1640"/>
      <c r="H21" s="1640"/>
      <c r="I21" s="1640"/>
      <c r="J21" s="1640"/>
      <c r="K21" s="1640"/>
      <c r="L21" s="1945"/>
      <c r="M21" s="1971"/>
      <c r="N21" s="1971"/>
      <c r="O21" s="1971"/>
      <c r="P21" s="1371"/>
      <c r="Q21" s="1380"/>
      <c r="R21" s="1380"/>
      <c r="S21" s="738"/>
      <c r="AN21" s="1645"/>
      <c r="AO21" s="1645"/>
      <c r="AP21" s="1645"/>
      <c r="AQ21" s="1645"/>
      <c r="AR21" s="1645"/>
      <c r="AS21" s="1375">
        <v>0</v>
      </c>
    </row>
    <row s="1375" customFormat="1" customHeight="1" ht="14.25" hidden="1">
      <c r="A22" s="1640"/>
      <c r="B22" s="1640"/>
      <c r="C22" s="1640"/>
      <c r="D22" s="1640"/>
      <c r="E22" s="1640"/>
      <c r="F22" s="1640"/>
      <c r="G22" s="1640"/>
      <c r="H22" s="1640"/>
      <c r="I22" s="1640"/>
      <c r="J22" s="1640"/>
      <c r="K22" s="1640"/>
      <c r="L22" s="1945"/>
      <c r="M22" s="1971"/>
      <c r="N22" s="1971"/>
      <c r="O22" s="1319" t="s">
        <v>433</v>
      </c>
      <c r="P22" s="1371"/>
      <c r="Q22" s="1380"/>
      <c r="R22" s="1380"/>
      <c r="S22" s="738"/>
      <c r="T22" s="1375" t="s">
        <v>434</v>
      </c>
      <c r="AA22" s="604" t="s">
        <v>435</v>
      </c>
      <c r="AC22" s="604" t="s">
        <v>436</v>
      </c>
      <c r="AD22" s="1375" t="s">
        <v>434</v>
      </c>
      <c r="AI22" s="604" t="s">
        <v>437</v>
      </c>
      <c r="AK22" s="604" t="s">
        <v>436</v>
      </c>
      <c r="AN22" s="1645"/>
      <c r="AO22" s="1645"/>
      <c r="AP22" s="1645"/>
      <c r="AQ22" s="1645"/>
      <c r="AR22" s="1645"/>
      <c r="AS22" s="1375">
        <v>0</v>
      </c>
    </row>
    <row customHeight="1" ht="14.25" hidden="1">
      <c r="O23" s="1319"/>
      <c r="AS23" s="1640">
        <v>0</v>
      </c>
    </row>
    <row customHeight="1" ht="14.25" hidden="1">
      <c r="O24" s="1319"/>
      <c r="AS24" s="1640">
        <v>0</v>
      </c>
    </row>
    <row customHeight="1" ht="14.699999999999998">
      <c r="Q25" s="385"/>
      <c r="R25" s="385"/>
      <c r="S25" s="1284"/>
      <c r="T25" s="466"/>
      <c r="U25" s="466"/>
      <c r="V25" s="1644"/>
      <c r="W25" s="1644"/>
      <c r="X25" s="1644"/>
      <c r="Y25" s="1644"/>
      <c r="Z25" s="1644"/>
      <c r="AA25" s="1644"/>
      <c r="AB25" s="1644"/>
      <c r="AC25" s="1644"/>
      <c r="AD25" s="1644"/>
      <c r="AE25" s="1644"/>
      <c r="AF25" s="1644"/>
      <c r="AG25" s="1644"/>
      <c r="AH25" s="1644"/>
      <c r="AI25" s="1644"/>
      <c r="AJ25" s="1644"/>
      <c r="AK25" s="1644"/>
      <c r="AS25" s="1640">
        <v>14</v>
      </c>
    </row>
    <row customHeight="1" ht="14.699999999999998">
      <c r="Q26" s="385"/>
      <c r="R26" s="385"/>
      <c r="S26" s="22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6"/>
      <c r="U26" s="2276"/>
      <c r="V26" s="2276"/>
      <c r="W26" s="2276"/>
      <c r="X26" s="2276"/>
      <c r="Y26" s="2276"/>
      <c r="Z26" s="2276"/>
      <c r="AA26" s="2276"/>
      <c r="AB26" s="2276"/>
      <c r="AC26" s="2276"/>
      <c r="AD26" s="2276"/>
      <c r="AE26" s="2276"/>
      <c r="AF26" s="2276"/>
      <c r="AG26" s="2276"/>
      <c r="AH26" s="2276"/>
      <c r="AI26" s="2276"/>
      <c r="AJ26" s="2276"/>
      <c r="AK26" s="1252"/>
      <c r="AS26" s="1640">
        <v>14</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640">
        <v>14</v>
      </c>
    </row>
    <row customHeight="1" ht="14.25" hidden="1">
      <c r="Q28" s="385"/>
      <c r="R28" s="385"/>
      <c r="S28" s="1284"/>
      <c r="T28" s="466"/>
      <c r="U28" s="466"/>
      <c r="V28" s="331"/>
      <c r="W28" s="331"/>
      <c r="X28" s="331"/>
      <c r="Y28" s="331"/>
      <c r="Z28" s="331"/>
      <c r="AA28" s="331"/>
      <c r="AB28" s="331"/>
      <c r="AC28" s="331"/>
      <c r="AD28" s="331"/>
      <c r="AE28" s="331"/>
      <c r="AF28" s="331"/>
      <c r="AG28" s="331"/>
      <c r="AH28" s="331"/>
      <c r="AI28" s="331"/>
      <c r="AJ28" s="331"/>
      <c r="AK28" s="331"/>
      <c r="AL28" s="1644"/>
      <c r="AS28" s="1640">
        <v>0</v>
      </c>
    </row>
    <row s="1859" customFormat="1" customHeight="1" ht="25.5" hidden="1">
      <c r="A29" s="1257"/>
      <c r="B29" s="1257"/>
      <c r="C29" s="1257"/>
      <c r="D29" s="1257"/>
      <c r="E29" s="1257"/>
      <c r="F29" s="1257"/>
      <c r="G29" s="1257"/>
      <c r="H29" s="1257"/>
      <c r="I29" s="1257"/>
      <c r="J29" s="1257"/>
      <c r="K29" s="1257"/>
      <c r="L29" s="1389"/>
      <c r="M29" s="1257"/>
      <c r="N29" s="1257"/>
      <c r="O29" s="125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1644"/>
      <c r="AD29" s="2279" t="str">
        <f>IF(TITLE_NAME_OR_PR_CHANGE="",IF(TITLE_NAME_OR_PR="","",TITLE_NAME_OR_PR),TITLE_NAME_OR_PR_CHANGE)</f>
        <v/>
      </c>
      <c r="AE29" s="2279"/>
      <c r="AF29" s="2279"/>
      <c r="AG29" s="2279"/>
      <c r="AH29" s="2279"/>
      <c r="AI29" s="2279"/>
      <c r="AJ29" s="2279"/>
      <c r="AK29" s="1644"/>
      <c r="AL29" s="1644"/>
      <c r="AM29" s="289"/>
      <c r="AN29" s="377"/>
      <c r="AO29" s="377"/>
      <c r="AP29" s="377"/>
      <c r="AQ29" s="377"/>
      <c r="AR29" s="377"/>
      <c r="AS29" s="427">
        <v>0</v>
      </c>
    </row>
    <row s="1859" customFormat="1" customHeight="1" ht="18.75" hidden="1">
      <c r="A30" s="1257"/>
      <c r="B30" s="1257"/>
      <c r="C30" s="1257"/>
      <c r="D30" s="1257"/>
      <c r="E30" s="1257"/>
      <c r="F30" s="1257"/>
      <c r="G30" s="1257"/>
      <c r="H30" s="1257"/>
      <c r="I30" s="1257"/>
      <c r="J30" s="1257"/>
      <c r="K30" s="1257"/>
      <c r="L30" s="1389"/>
      <c r="M30" s="1257"/>
      <c r="N30" s="1257"/>
      <c r="O30" s="125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1644"/>
      <c r="AD30" s="2292" t="str">
        <f>IF(TITLE_DATE_PR_CHANGE="",IF(TITLE_DATE_PR="","",TITLE_DATE_PR),TITLE_DATE_PR_CHANGE)</f>
        <v/>
      </c>
      <c r="AE30" s="2292"/>
      <c r="AF30" s="2292"/>
      <c r="AG30" s="2292"/>
      <c r="AH30" s="2292"/>
      <c r="AI30" s="2292"/>
      <c r="AJ30" s="2292"/>
      <c r="AK30" s="1644"/>
      <c r="AL30" s="1644"/>
      <c r="AM30" s="289"/>
      <c r="AN30" s="377"/>
      <c r="AO30" s="377"/>
      <c r="AP30" s="377"/>
      <c r="AQ30" s="377"/>
      <c r="AR30" s="377"/>
      <c r="AS30" s="427">
        <v>0</v>
      </c>
    </row>
    <row s="1859" customFormat="1" customHeight="1" ht="18.75" hidden="1">
      <c r="A31" s="1257"/>
      <c r="B31" s="1257"/>
      <c r="C31" s="1257"/>
      <c r="D31" s="1257"/>
      <c r="E31" s="1257"/>
      <c r="F31" s="1257"/>
      <c r="G31" s="1257"/>
      <c r="H31" s="1257"/>
      <c r="I31" s="1257"/>
      <c r="J31" s="1257"/>
      <c r="K31" s="1257"/>
      <c r="L31" s="1389"/>
      <c r="M31" s="1257"/>
      <c r="N31" s="1257"/>
      <c r="O31" s="125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1644"/>
      <c r="AD31" s="2279" t="str">
        <f>IF(TITLE_NUMBER_PR_CHANGE="",IF(TITLE_NUMBER_PR="","",TITLE_NUMBER_PR),TITLE_NUMBER_PR_CHANGE)</f>
        <v/>
      </c>
      <c r="AE31" s="2279"/>
      <c r="AF31" s="2279"/>
      <c r="AG31" s="2279"/>
      <c r="AH31" s="2279"/>
      <c r="AI31" s="2279"/>
      <c r="AJ31" s="2279"/>
      <c r="AK31" s="1644"/>
      <c r="AL31" s="1644"/>
      <c r="AM31" s="289"/>
      <c r="AN31" s="377"/>
      <c r="AO31" s="377"/>
      <c r="AP31" s="377"/>
      <c r="AQ31" s="377"/>
      <c r="AR31" s="377"/>
      <c r="AS31" s="427">
        <v>0</v>
      </c>
    </row>
    <row s="1859" customFormat="1" customHeight="1" ht="18.75" hidden="1">
      <c r="A32" s="1257"/>
      <c r="B32" s="1257"/>
      <c r="C32" s="1257"/>
      <c r="D32" s="1257"/>
      <c r="E32" s="1257"/>
      <c r="F32" s="1257"/>
      <c r="G32" s="1257"/>
      <c r="H32" s="1257"/>
      <c r="I32" s="1257"/>
      <c r="J32" s="1257"/>
      <c r="K32" s="1257"/>
      <c r="L32" s="1389"/>
      <c r="M32" s="1257"/>
      <c r="N32" s="1257"/>
      <c r="O32" s="1257"/>
      <c r="S32" s="2278" t="s">
        <v>43</v>
      </c>
      <c r="T32" s="2278"/>
      <c r="U32" s="1381"/>
      <c r="V32" s="2279" t="str">
        <f>IF(TITLE_IST_PUB_CHANGE="",IF(TITLE_IST_PUB="","",TITLE_IST_PUB),TITLE_IST_PUB_CHANGE)</f>
        <v/>
      </c>
      <c r="W32" s="2279"/>
      <c r="X32" s="2279"/>
      <c r="Y32" s="2279"/>
      <c r="Z32" s="2279"/>
      <c r="AA32" s="2279"/>
      <c r="AB32" s="2279"/>
      <c r="AC32" s="1644"/>
      <c r="AD32" s="2279" t="str">
        <f>IF(TITLE_IST_PUB_CHANGE="",IF(TITLE_IST_PUB="","",TITLE_IST_PUB),TITLE_IST_PUB_CHANGE)</f>
        <v/>
      </c>
      <c r="AE32" s="2279"/>
      <c r="AF32" s="2279"/>
      <c r="AG32" s="2279"/>
      <c r="AH32" s="2279"/>
      <c r="AI32" s="2279"/>
      <c r="AJ32" s="2279"/>
      <c r="AK32" s="1644"/>
      <c r="AL32" s="1644"/>
      <c r="AM32" s="289"/>
      <c r="AN32" s="377"/>
      <c r="AO32" s="377"/>
      <c r="AP32" s="377"/>
      <c r="AQ32" s="377"/>
      <c r="AR32" s="377"/>
      <c r="AS32" s="427">
        <v>0</v>
      </c>
    </row>
    <row customHeight="1" ht="14.25" hidden="1">
      <c r="Q33" s="385"/>
      <c r="R33" s="385"/>
      <c r="S33" s="1284"/>
      <c r="T33" s="466"/>
      <c r="U33" s="466"/>
      <c r="V33" s="331"/>
      <c r="W33" s="331"/>
      <c r="X33" s="331"/>
      <c r="Y33" s="331"/>
      <c r="Z33" s="331"/>
      <c r="AA33" s="331"/>
      <c r="AB33" s="331"/>
      <c r="AC33" s="331"/>
      <c r="AD33" s="331"/>
      <c r="AE33" s="331"/>
      <c r="AF33" s="331"/>
      <c r="AG33" s="331"/>
      <c r="AH33" s="331"/>
      <c r="AI33" s="331"/>
      <c r="AJ33" s="331"/>
      <c r="AK33" s="331"/>
      <c r="AL33" s="1644"/>
      <c r="AS33" s="1640">
        <v>0</v>
      </c>
    </row>
    <row s="1859" customFormat="1" customHeight="1" ht="18.75" hidden="1">
      <c r="A34" s="1257"/>
      <c r="B34" s="1257"/>
      <c r="C34" s="1257"/>
      <c r="D34" s="1257"/>
      <c r="E34" s="1257"/>
      <c r="F34" s="1257"/>
      <c r="G34" s="1257"/>
      <c r="H34" s="1257"/>
      <c r="I34" s="1257"/>
      <c r="J34" s="1257"/>
      <c r="K34" s="1257"/>
      <c r="L34" s="1389"/>
      <c r="M34" s="1257"/>
      <c r="N34" s="1257"/>
      <c r="O34" s="125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1644"/>
      <c r="AD34" s="2292" t="str">
        <f>IF(TITLE_DATE_PR_CHANGE="",IF(TITLE_DATE_PR="","",TITLE_DATE_PR),TITLE_DATE_PR_CHANGE)</f>
        <v/>
      </c>
      <c r="AE34" s="2292"/>
      <c r="AF34" s="2292"/>
      <c r="AG34" s="2292"/>
      <c r="AH34" s="2292"/>
      <c r="AI34" s="2292"/>
      <c r="AJ34" s="2292"/>
      <c r="AK34" s="1644"/>
      <c r="AL34" s="1644"/>
      <c r="AM34" s="289"/>
      <c r="AN34" s="377"/>
      <c r="AO34" s="377"/>
      <c r="AP34" s="377"/>
      <c r="AQ34" s="377"/>
      <c r="AR34" s="377"/>
      <c r="AS34" s="427">
        <v>0</v>
      </c>
    </row>
    <row s="1859" customFormat="1" customHeight="1" ht="18.75" hidden="1">
      <c r="A35" s="1257"/>
      <c r="B35" s="1257"/>
      <c r="C35" s="1257"/>
      <c r="D35" s="1257"/>
      <c r="E35" s="1257"/>
      <c r="F35" s="1257"/>
      <c r="G35" s="1257"/>
      <c r="H35" s="1257"/>
      <c r="I35" s="1257"/>
      <c r="J35" s="1257"/>
      <c r="K35" s="1257"/>
      <c r="L35" s="1389"/>
      <c r="M35" s="1257"/>
      <c r="N35" s="1257"/>
      <c r="O35" s="125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1644"/>
      <c r="AD35" s="2279" t="str">
        <f>IF(TITLE_NUMBER_PR_CHANGE="",IF(TITLE_NUMBER_PR="","",TITLE_NUMBER_PR),TITLE_NUMBER_PR_CHANGE)</f>
        <v/>
      </c>
      <c r="AE35" s="2279"/>
      <c r="AF35" s="2279"/>
      <c r="AG35" s="2279"/>
      <c r="AH35" s="2279"/>
      <c r="AI35" s="2279"/>
      <c r="AJ35" s="2279"/>
      <c r="AK35" s="1644"/>
      <c r="AL35" s="1644"/>
      <c r="AM35" s="289"/>
      <c r="AN35" s="377"/>
      <c r="AO35" s="377"/>
      <c r="AP35" s="377"/>
      <c r="AQ35" s="377"/>
      <c r="AR35" s="377"/>
      <c r="AS35" s="427">
        <v>0</v>
      </c>
    </row>
    <row s="1859" customFormat="1" customHeight="1" ht="0">
      <c r="A36" s="1257"/>
      <c r="B36" s="1257"/>
      <c r="C36" s="1257"/>
      <c r="D36" s="1257"/>
      <c r="E36" s="1257"/>
      <c r="F36" s="1257"/>
      <c r="G36" s="1257"/>
      <c r="H36" s="1257"/>
      <c r="I36" s="1257"/>
      <c r="J36" s="1257"/>
      <c r="K36" s="1257"/>
      <c r="L36" s="1389"/>
      <c r="M36" s="1257"/>
      <c r="N36" s="1257"/>
      <c r="O36" s="1257"/>
      <c r="S36" s="1644"/>
      <c r="T36" s="1644"/>
      <c r="U36" s="1976"/>
      <c r="V36" s="1644"/>
      <c r="W36" s="1644"/>
      <c r="X36" s="1644"/>
      <c r="Y36" s="1644"/>
      <c r="Z36" s="1644"/>
      <c r="AA36" s="1644"/>
      <c r="AB36" s="1644"/>
      <c r="AC36" s="1651" t="s">
        <v>438</v>
      </c>
      <c r="AD36" s="1644"/>
      <c r="AE36" s="1644"/>
      <c r="AF36" s="1644"/>
      <c r="AG36" s="1644"/>
      <c r="AH36" s="1644"/>
      <c r="AI36" s="1644"/>
      <c r="AJ36" s="1644"/>
      <c r="AK36" s="1651" t="s">
        <v>438</v>
      </c>
      <c r="AN36" s="377"/>
      <c r="AO36" s="377"/>
      <c r="AP36" s="377"/>
      <c r="AQ36" s="377"/>
      <c r="AR36" s="377"/>
      <c r="AS36" s="427">
        <v>0</v>
      </c>
    </row>
    <row customHeight="1" ht="14.699999999999998">
      <c r="Q37" s="385"/>
      <c r="R37" s="385"/>
      <c r="S37" s="1284"/>
      <c r="T37" s="466"/>
      <c r="U37" s="1253"/>
      <c r="V37" s="2280"/>
      <c r="W37" s="2280"/>
      <c r="X37" s="2280"/>
      <c r="Y37" s="2280"/>
      <c r="Z37" s="2280"/>
      <c r="AA37" s="2280"/>
      <c r="AB37" s="2280"/>
      <c r="AC37" s="2280"/>
      <c r="AD37" s="2280"/>
      <c r="AE37" s="2280"/>
      <c r="AF37" s="2280"/>
      <c r="AG37" s="2280"/>
      <c r="AH37" s="2280"/>
      <c r="AI37" s="2280"/>
      <c r="AJ37" s="2280"/>
      <c r="AK37" s="2280"/>
      <c r="AS37" s="1640">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640">
        <v>14</v>
      </c>
    </row>
    <row customHeight="1" ht="14.699999999999998">
      <c r="Q39" s="385"/>
      <c r="R39" s="385"/>
      <c r="S39" s="2301" t="s">
        <v>89</v>
      </c>
      <c r="T39" s="2237" t="s">
        <v>439</v>
      </c>
      <c r="U39" s="346"/>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640">
        <v>14</v>
      </c>
    </row>
    <row customHeight="1" ht="35.699999999999996">
      <c r="Q40" s="385"/>
      <c r="R40" s="385"/>
      <c r="S40" s="2301"/>
      <c r="T40" s="2237"/>
      <c r="U40" s="1040"/>
      <c r="V40" s="2288" t="s">
        <v>444</v>
      </c>
      <c r="W40" s="2311" t="s">
        <v>445</v>
      </c>
      <c r="X40" s="2290" t="s">
        <v>446</v>
      </c>
      <c r="Y40" s="2291"/>
      <c r="Z40" s="2290" t="s">
        <v>460</v>
      </c>
      <c r="AA40" s="2297"/>
      <c r="AB40" s="2291"/>
      <c r="AC40" s="2306"/>
      <c r="AD40" s="2288" t="s">
        <v>444</v>
      </c>
      <c r="AE40" s="2311" t="s">
        <v>445</v>
      </c>
      <c r="AF40" s="2290" t="s">
        <v>446</v>
      </c>
      <c r="AG40" s="2291"/>
      <c r="AH40" s="2290" t="s">
        <v>447</v>
      </c>
      <c r="AI40" s="2297"/>
      <c r="AJ40" s="2291"/>
      <c r="AK40" s="2306"/>
      <c r="AL40" s="2309"/>
      <c r="AM40" s="2155"/>
      <c r="AS40" s="1640">
        <v>34</v>
      </c>
    </row>
    <row customHeight="1" ht="35.699999999999996">
      <c r="A41" s="1275"/>
      <c r="B41" s="1275" t="s">
        <v>152</v>
      </c>
      <c r="C41" s="1275" t="s">
        <v>153</v>
      </c>
      <c r="D41" s="1275" t="s">
        <v>154</v>
      </c>
      <c r="E41" s="1319" t="s">
        <v>448</v>
      </c>
      <c r="F41" s="1319" t="s">
        <v>449</v>
      </c>
      <c r="G41" s="1319" t="s">
        <v>450</v>
      </c>
      <c r="H41" s="1319" t="s">
        <v>451</v>
      </c>
      <c r="I41" s="1319" t="s">
        <v>452</v>
      </c>
      <c r="J41" s="1319" t="s">
        <v>453</v>
      </c>
      <c r="K41" s="1319" t="s">
        <v>454</v>
      </c>
      <c r="L41" s="1319" t="s">
        <v>433</v>
      </c>
      <c r="Q41" s="385"/>
      <c r="R41" s="385"/>
      <c r="S41" s="2301"/>
      <c r="T41" s="2237"/>
      <c r="U41" s="311"/>
      <c r="V41" s="2289"/>
      <c r="W41" s="2312"/>
      <c r="X41" s="1944" t="s">
        <v>455</v>
      </c>
      <c r="Y41" s="1944" t="s">
        <v>456</v>
      </c>
      <c r="Z41" s="1944" t="s">
        <v>457</v>
      </c>
      <c r="AA41" s="2298" t="s">
        <v>458</v>
      </c>
      <c r="AB41" s="2299"/>
      <c r="AC41" s="2307"/>
      <c r="AD41" s="2289"/>
      <c r="AE41" s="2312"/>
      <c r="AF41" s="1944" t="s">
        <v>455</v>
      </c>
      <c r="AG41" s="1944" t="s">
        <v>456</v>
      </c>
      <c r="AH41" s="1944" t="s">
        <v>457</v>
      </c>
      <c r="AI41" s="2298" t="s">
        <v>458</v>
      </c>
      <c r="AJ41" s="2299"/>
      <c r="AK41" s="2307"/>
      <c r="AL41" s="2310"/>
      <c r="AM41" s="2155"/>
      <c r="AS41" s="1640">
        <v>34</v>
      </c>
    </row>
    <row s="1650" customFormat="1" customHeight="1" ht="11.25" hidden="1">
      <c r="A42" s="1275"/>
      <c r="B42" s="1275"/>
      <c r="C42" s="1275"/>
      <c r="D42" s="1275"/>
      <c r="E42" s="1275"/>
      <c r="F42" s="1275"/>
      <c r="G42" s="1275"/>
      <c r="H42" s="1275"/>
      <c r="I42" s="1275"/>
      <c r="J42" s="1275"/>
      <c r="K42" s="1275"/>
      <c r="L42" s="1319"/>
      <c r="M42" s="1971"/>
      <c r="N42" s="1971"/>
      <c r="O42" s="1971"/>
      <c r="P42" s="1255"/>
      <c r="Q42" s="1256"/>
      <c r="R42" s="1263">
        <v>1</v>
      </c>
      <c r="S42" s="1286" t="s">
        <v>118</v>
      </c>
      <c r="T42" s="1264" t="s">
        <v>103</v>
      </c>
      <c r="U42" s="1254" t="str">
        <f>OFFSET(U42,0,-1)</f>
        <v>2</v>
      </c>
      <c r="V42" s="1962">
        <f>OFFSET(V42,0,-1)+1</f>
        <v>3</v>
      </c>
      <c r="W42" s="1962"/>
      <c r="X42" s="1962">
        <f>OFFSET(X42,0,-1)+1</f>
        <v>1</v>
      </c>
      <c r="Y42" s="1962">
        <f>OFFSET(Y42,0,-1)+1</f>
        <v>2</v>
      </c>
      <c r="Z42" s="1962">
        <f>OFFSET(Z42,0,-1)+1</f>
        <v>3</v>
      </c>
      <c r="AA42" s="2300">
        <f>OFFSET(AA42,0,-1)+1</f>
        <v>4</v>
      </c>
      <c r="AB42" s="2300"/>
      <c r="AC42" s="1962">
        <f>OFFSET(AC42,0,-2)+1</f>
        <v>5</v>
      </c>
      <c r="AD42" s="1962">
        <f>OFFSET(AD42,0,-1)+1</f>
        <v>6</v>
      </c>
      <c r="AE42" s="1962"/>
      <c r="AF42" s="1962">
        <f>OFFSET(AF42,0,-1)+1</f>
        <v>1</v>
      </c>
      <c r="AG42" s="1962">
        <f>OFFSET(AG42,0,-1)+1</f>
        <v>2</v>
      </c>
      <c r="AH42" s="1962">
        <f>OFFSET(AH42,0,-1)+1</f>
        <v>3</v>
      </c>
      <c r="AI42" s="2300">
        <f>OFFSET(AI42,0,-1)+1</f>
        <v>4</v>
      </c>
      <c r="AJ42" s="2300"/>
      <c r="AK42" s="1962">
        <f>OFFSET(AK42,0,-2)+1</f>
        <v>5</v>
      </c>
      <c r="AL42" s="1254">
        <f>OFFSET(AL42,0,-1)</f>
        <v>5</v>
      </c>
      <c r="AM42" s="1962">
        <f>OFFSET(AM42,0,-1)+1</f>
        <v>6</v>
      </c>
      <c r="AN42" s="1645"/>
      <c r="AO42" s="1645"/>
      <c r="AP42" s="1645"/>
      <c r="AQ42" s="1645"/>
      <c r="AR42" s="1645"/>
      <c r="AS42" s="1650">
        <v>0</v>
      </c>
    </row>
    <row customHeight="1" ht="22.049999999999997">
      <c r="A43" s="1276" t="s">
        <v>227</v>
      </c>
      <c r="B43" s="1276"/>
      <c r="C43" s="1276"/>
      <c r="D43" s="1276"/>
      <c r="E43" s="2317">
        <v>1</v>
      </c>
      <c r="F43" s="1276"/>
      <c r="G43" s="1276"/>
      <c r="H43" s="1276"/>
      <c r="I43" s="1276"/>
      <c r="J43" s="1276"/>
      <c r="K43" s="1276"/>
      <c r="L43" s="1319"/>
      <c r="M43" s="1619"/>
      <c r="N43" s="1619"/>
      <c r="O43" s="1619"/>
      <c r="P43" s="1599"/>
      <c r="Q43" s="369"/>
      <c r="R43" s="364"/>
      <c r="S43" s="1964">
        <f>INDEX(PT_DIFFERENTIATION_NUM_NTAR,MATCH(A43,PT_DIFFERENTIATION_NTAR_ID,0))</f>
        <v>0</v>
      </c>
      <c r="T43" s="1534"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3"/>
      <c r="AP43" s="1633" t="str">
        <f>IF(T43="","",T43)</f>
        <v>Наименование тарифа</v>
      </c>
      <c r="AQ43" s="1633"/>
      <c r="AR43" s="1633"/>
      <c r="AS43" s="1640">
        <v>21</v>
      </c>
    </row>
    <row customHeight="1" ht="22.049999999999997">
      <c r="A44" s="1276" t="s">
        <v>227</v>
      </c>
      <c r="B44" s="1276" t="s">
        <v>228</v>
      </c>
      <c r="C44" s="1276"/>
      <c r="D44" s="1276"/>
      <c r="E44" s="2318"/>
      <c r="F44" s="2317">
        <v>1</v>
      </c>
      <c r="G44" s="1276"/>
      <c r="H44" s="1276"/>
      <c r="I44" s="1276"/>
      <c r="J44" s="1276"/>
      <c r="K44" s="1276"/>
      <c r="L44" s="1319"/>
      <c r="M44" s="1619"/>
      <c r="N44" s="1619"/>
      <c r="O44" s="1619"/>
      <c r="P44" s="1946"/>
      <c r="Q44" s="361"/>
      <c r="R44" s="362"/>
      <c r="S44" s="1964" t="str">
        <f>INDEX(PT_DIFFERENTIATION_NUM_TER,MATCH(B44,PT_DIFFERENTIATION_TER_ID,0))</f>
        <v>.</v>
      </c>
      <c r="T44" s="1531"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1633"/>
      <c r="AP44" s="1633" t="str">
        <f>IF(T44="","",T44)</f>
        <v>Территория действия тарифа</v>
      </c>
      <c r="AQ44" s="1633"/>
      <c r="AR44" s="1633"/>
      <c r="AS44" s="1640">
        <v>21</v>
      </c>
    </row>
    <row customHeight="1" ht="24">
      <c r="A45" s="1276" t="s">
        <v>227</v>
      </c>
      <c r="B45" s="1276" t="s">
        <v>228</v>
      </c>
      <c r="C45" s="1276" t="s">
        <v>229</v>
      </c>
      <c r="D45" s="1276"/>
      <c r="E45" s="2318"/>
      <c r="F45" s="2318"/>
      <c r="G45" s="2317">
        <v>1</v>
      </c>
      <c r="H45" s="1276"/>
      <c r="I45" s="1276"/>
      <c r="J45" s="1276"/>
      <c r="K45" s="1276"/>
      <c r="L45" s="1319"/>
      <c r="M45" s="1619"/>
      <c r="N45" s="1619"/>
      <c r="O45" s="1619"/>
      <c r="P45" s="363"/>
      <c r="Q45" s="361"/>
      <c r="R45" s="362"/>
      <c r="S45" s="1964"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1633"/>
      <c r="AP45" s="1633" t="str">
        <f>IF(T45="","",T45)</f>
        <v>Наименование системы теплоснабжения </v>
      </c>
      <c r="AQ45" s="1633"/>
      <c r="AR45" s="1633"/>
      <c r="AS45" s="1640">
        <v>23</v>
      </c>
    </row>
    <row customHeight="1" ht="22.049999999999997">
      <c r="A46" s="1276" t="s">
        <v>227</v>
      </c>
      <c r="B46" s="1276" t="s">
        <v>228</v>
      </c>
      <c r="C46" s="1276" t="s">
        <v>229</v>
      </c>
      <c r="D46" s="1276" t="s">
        <v>230</v>
      </c>
      <c r="E46" s="2318"/>
      <c r="F46" s="2318"/>
      <c r="G46" s="2318"/>
      <c r="H46" s="2317">
        <v>1</v>
      </c>
      <c r="I46" s="1276"/>
      <c r="J46" s="1276"/>
      <c r="K46" s="1276"/>
      <c r="L46" s="1319"/>
      <c r="M46" s="1619"/>
      <c r="N46" s="1619"/>
      <c r="O46" s="1619"/>
      <c r="P46" s="363"/>
      <c r="Q46" s="361"/>
      <c r="R46" s="362"/>
      <c r="S46" s="1964"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1633"/>
      <c r="AP46" s="1633" t="str">
        <f>IF(T46="","",T46)</f>
        <v>Источник тепловой энергии  </v>
      </c>
      <c r="AQ46" s="1633"/>
      <c r="AR46" s="1633"/>
      <c r="AS46" s="1640">
        <v>21</v>
      </c>
    </row>
    <row customHeight="1" ht="49.5">
      <c r="A47" s="1276" t="s">
        <v>227</v>
      </c>
      <c r="B47" s="1276" t="s">
        <v>228</v>
      </c>
      <c r="C47" s="1276" t="s">
        <v>229</v>
      </c>
      <c r="D47" s="1276" t="s">
        <v>230</v>
      </c>
      <c r="E47" s="2318"/>
      <c r="F47" s="2318"/>
      <c r="G47" s="2318"/>
      <c r="H47" s="2318"/>
      <c r="I47" s="2155" t="str">
        <f>S46&amp;".1"</f>
        <v>....1</v>
      </c>
      <c r="J47" s="1276"/>
      <c r="K47" s="1276"/>
      <c r="L47" s="1319" t="s">
        <v>418</v>
      </c>
      <c r="P47" s="2285">
        <v>1</v>
      </c>
      <c r="Q47" s="1960"/>
      <c r="R47" s="365"/>
      <c r="S47" s="1964" t="str">
        <f>$I47</f>
        <v>....1</v>
      </c>
      <c r="T47" s="294" t="s">
        <v>419</v>
      </c>
      <c r="U47" s="309"/>
      <c r="V47" s="2273"/>
      <c r="W47" s="2274"/>
      <c r="X47" s="2274"/>
      <c r="Y47" s="2274"/>
      <c r="Z47" s="2274"/>
      <c r="AA47" s="2274"/>
      <c r="AB47" s="2274"/>
      <c r="AC47" s="2275"/>
      <c r="AD47" s="2273"/>
      <c r="AE47" s="2274"/>
      <c r="AF47" s="2274"/>
      <c r="AG47" s="2274"/>
      <c r="AH47" s="2274"/>
      <c r="AI47" s="2274"/>
      <c r="AJ47" s="2274"/>
      <c r="AK47" s="2274"/>
      <c r="AL47" s="2275"/>
      <c r="AM47" s="1267" t="s">
        <v>420</v>
      </c>
      <c r="AO47" s="1633"/>
      <c r="AP47" s="1633" t="str">
        <f>IF(T47="","",T47)</f>
        <v>Схема подключения теплопотребляющей установки к коллектору источника тепловой энергии</v>
      </c>
      <c r="AQ47" s="1633"/>
      <c r="AR47" s="1633"/>
      <c r="AS47" s="1640">
        <v>47</v>
      </c>
    </row>
    <row customHeight="1" ht="22.049999999999997">
      <c r="A48" s="1276" t="s">
        <v>227</v>
      </c>
      <c r="B48" s="1276" t="s">
        <v>228</v>
      </c>
      <c r="C48" s="1276" t="s">
        <v>229</v>
      </c>
      <c r="D48" s="1276" t="s">
        <v>230</v>
      </c>
      <c r="E48" s="2318"/>
      <c r="F48" s="2318"/>
      <c r="G48" s="2318"/>
      <c r="H48" s="2318"/>
      <c r="I48" s="2129"/>
      <c r="J48" s="2155" t="str">
        <f>I47&amp;".1"</f>
        <v>....1.1</v>
      </c>
      <c r="K48" s="1276"/>
      <c r="L48" s="1319" t="s">
        <v>421</v>
      </c>
      <c r="P48" s="2285"/>
      <c r="Q48" s="2285">
        <v>1</v>
      </c>
      <c r="R48" s="366"/>
      <c r="S48" s="1964" t="str">
        <f>$J48</f>
        <v>....1.1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1633"/>
      <c r="AP48" s="1633" t="str">
        <f>IF(T48="","",T48)</f>
        <v>Группа потребителей</v>
      </c>
      <c r="AQ48" s="1633"/>
      <c r="AR48" s="1633"/>
      <c r="AS48" s="1640">
        <v>21</v>
      </c>
    </row>
    <row customHeight="1" ht="22.049999999999997">
      <c r="A49" s="1276" t="s">
        <v>227</v>
      </c>
      <c r="B49" s="1276" t="s">
        <v>228</v>
      </c>
      <c r="C49" s="1276" t="s">
        <v>229</v>
      </c>
      <c r="D49" s="1276" t="s">
        <v>230</v>
      </c>
      <c r="E49" s="2318"/>
      <c r="F49" s="2318"/>
      <c r="G49" s="2318"/>
      <c r="H49" s="2318"/>
      <c r="I49" s="2129"/>
      <c r="J49" s="2129"/>
      <c r="K49" s="2155" t="str">
        <f>J48&amp;".1"</f>
        <v>....1.1.1</v>
      </c>
      <c r="L49" s="1319" t="s">
        <v>424</v>
      </c>
      <c r="P49" s="2285"/>
      <c r="Q49" s="2285"/>
      <c r="R49" s="366">
        <v>1</v>
      </c>
      <c r="S49" s="1964" t="str">
        <f>$K49</f>
        <v>....1.1.1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425</v>
      </c>
      <c r="AN49" s="1645">
        <f>STRCHECKDATE(V50:AL50)</f>
      </c>
      <c r="AO49" s="1633"/>
      <c r="AP49" s="1633" t="str">
        <f>IF(T49="","",T49)</f>
        <v/>
      </c>
      <c r="AQ49" s="1633"/>
      <c r="AR49" s="1633"/>
      <c r="AS49" s="1640">
        <v>21</v>
      </c>
    </row>
    <row customHeight="1" ht="1.05">
      <c r="A50" s="1276" t="s">
        <v>227</v>
      </c>
      <c r="B50" s="1276" t="s">
        <v>228</v>
      </c>
      <c r="C50" s="1276" t="s">
        <v>229</v>
      </c>
      <c r="D50" s="1276" t="s">
        <v>230</v>
      </c>
      <c r="E50" s="2318"/>
      <c r="F50" s="2318"/>
      <c r="G50" s="2318"/>
      <c r="H50" s="2318"/>
      <c r="I50" s="2129"/>
      <c r="J50" s="2129"/>
      <c r="K50" s="2155"/>
      <c r="L50" s="1319"/>
      <c r="P50" s="2285"/>
      <c r="Q50" s="2285"/>
      <c r="R50" s="366"/>
      <c r="S50" s="1973"/>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1633"/>
      <c r="AP50" s="1633" t="str">
        <f>IF(T50="","",T50)</f>
        <v/>
      </c>
      <c r="AQ50" s="1633"/>
      <c r="AR50" s="1633"/>
      <c r="AS50" s="1640">
        <v>1</v>
      </c>
    </row>
    <row customHeight="1" ht="11.549999999999999">
      <c r="A51" s="1276" t="s">
        <v>227</v>
      </c>
      <c r="B51" s="1276" t="s">
        <v>228</v>
      </c>
      <c r="C51" s="1276" t="s">
        <v>229</v>
      </c>
      <c r="D51" s="1276" t="s">
        <v>230</v>
      </c>
      <c r="E51" s="2318"/>
      <c r="F51" s="2318"/>
      <c r="G51" s="2318"/>
      <c r="H51" s="2318"/>
      <c r="I51" s="2129"/>
      <c r="J51" s="2155"/>
      <c r="K51" s="1276"/>
      <c r="L51" s="1319"/>
      <c r="P51" s="2285"/>
      <c r="Q51" s="2285"/>
      <c r="R51" s="365"/>
      <c r="S51" s="1287"/>
      <c r="T51" s="297" t="s">
        <v>426</v>
      </c>
      <c r="U51" s="609"/>
      <c r="V51" s="609"/>
      <c r="W51" s="609"/>
      <c r="X51" s="609"/>
      <c r="Y51" s="609"/>
      <c r="Z51" s="609"/>
      <c r="AA51" s="609"/>
      <c r="AB51" s="609"/>
      <c r="AC51" s="609"/>
      <c r="AD51" s="609"/>
      <c r="AE51" s="609"/>
      <c r="AF51" s="609"/>
      <c r="AG51" s="609"/>
      <c r="AH51" s="609"/>
      <c r="AI51" s="609"/>
      <c r="AJ51" s="609"/>
      <c r="AK51" s="609"/>
      <c r="AL51" s="333"/>
      <c r="AM51" s="2283"/>
      <c r="AO51" s="1633"/>
      <c r="AP51" s="1633" t="str">
        <f>IF(T51="","",T51)</f>
        <v>Добавить вид теплоносителя (параметры теплоносителя)</v>
      </c>
      <c r="AQ51" s="1633"/>
      <c r="AR51" s="1633"/>
      <c r="AS51" s="1640">
        <v>11</v>
      </c>
    </row>
    <row customHeight="1" ht="11.549999999999999">
      <c r="A52" s="1276" t="s">
        <v>227</v>
      </c>
      <c r="B52" s="1276" t="s">
        <v>228</v>
      </c>
      <c r="C52" s="1276" t="s">
        <v>229</v>
      </c>
      <c r="D52" s="1276" t="s">
        <v>230</v>
      </c>
      <c r="E52" s="2318"/>
      <c r="F52" s="2318"/>
      <c r="G52" s="2318"/>
      <c r="H52" s="2318"/>
      <c r="I52" s="2155"/>
      <c r="J52" s="1276"/>
      <c r="K52" s="1276"/>
      <c r="L52" s="1319"/>
      <c r="P52" s="2285"/>
      <c r="Q52" s="1960"/>
      <c r="R52" s="365"/>
      <c r="S52" s="1287"/>
      <c r="T52" s="296" t="s">
        <v>427</v>
      </c>
      <c r="U52" s="609"/>
      <c r="V52" s="609"/>
      <c r="W52" s="609"/>
      <c r="X52" s="609"/>
      <c r="Y52" s="609"/>
      <c r="Z52" s="609"/>
      <c r="AA52" s="609"/>
      <c r="AB52" s="609"/>
      <c r="AC52" s="375"/>
      <c r="AD52" s="609"/>
      <c r="AE52" s="609"/>
      <c r="AF52" s="609"/>
      <c r="AG52" s="609"/>
      <c r="AH52" s="609"/>
      <c r="AI52" s="609"/>
      <c r="AJ52" s="609"/>
      <c r="AK52" s="375"/>
      <c r="AL52" s="609"/>
      <c r="AM52" s="312"/>
      <c r="AO52" s="1633"/>
      <c r="AP52" s="1633" t="str">
        <f>IF(T52="","",T52)</f>
        <v>Добавить группу потребителей</v>
      </c>
      <c r="AQ52" s="1633"/>
      <c r="AR52" s="1633"/>
      <c r="AS52" s="1640">
        <v>11</v>
      </c>
    </row>
    <row customHeight="1" ht="14.699999999999998">
      <c r="A53" s="1276" t="s">
        <v>227</v>
      </c>
      <c r="B53" s="1276" t="s">
        <v>228</v>
      </c>
      <c r="C53" s="1276" t="s">
        <v>229</v>
      </c>
      <c r="D53" s="1276" t="s">
        <v>230</v>
      </c>
      <c r="E53" s="2318"/>
      <c r="F53" s="2318"/>
      <c r="G53" s="2318"/>
      <c r="H53" s="2317"/>
      <c r="I53" s="1276"/>
      <c r="J53" s="1276"/>
      <c r="K53" s="1276"/>
      <c r="L53" s="1319"/>
      <c r="M53" s="1619"/>
      <c r="N53" s="1619"/>
      <c r="O53" s="1644"/>
      <c r="P53" s="369"/>
      <c r="Q53" s="384"/>
      <c r="R53" s="364"/>
      <c r="S53" s="1287"/>
      <c r="T53" s="374" t="s">
        <v>428</v>
      </c>
      <c r="U53" s="609"/>
      <c r="V53" s="609"/>
      <c r="W53" s="609"/>
      <c r="X53" s="609"/>
      <c r="Y53" s="609"/>
      <c r="Z53" s="609"/>
      <c r="AA53" s="609"/>
      <c r="AB53" s="609"/>
      <c r="AC53" s="375"/>
      <c r="AD53" s="609"/>
      <c r="AE53" s="609"/>
      <c r="AF53" s="609"/>
      <c r="AG53" s="609"/>
      <c r="AH53" s="609"/>
      <c r="AI53" s="609"/>
      <c r="AJ53" s="609"/>
      <c r="AK53" s="375"/>
      <c r="AL53" s="609"/>
      <c r="AM53" s="312"/>
      <c r="AO53" s="1633"/>
      <c r="AP53" s="1633" t="str">
        <f>IF(T53="","",T53)</f>
        <v>Добавить схему подключения</v>
      </c>
      <c r="AQ53" s="1633"/>
      <c r="AR53" s="1633"/>
      <c r="AS53" s="1640">
        <v>14</v>
      </c>
    </row>
    <row s="1651" customFormat="1" customHeight="1" ht="4.2">
      <c r="A54" s="1384" t="s">
        <v>227</v>
      </c>
      <c r="B54" s="1384" t="s">
        <v>228</v>
      </c>
      <c r="C54" s="1384" t="s">
        <v>229</v>
      </c>
      <c r="D54" s="1383"/>
      <c r="E54" s="2318"/>
      <c r="F54" s="2318"/>
      <c r="G54" s="2317"/>
      <c r="H54" s="1383"/>
      <c r="I54" s="1383"/>
      <c r="J54" s="1383"/>
      <c r="K54" s="1383"/>
      <c r="L54" s="1386"/>
      <c r="M54" s="1387"/>
      <c r="N54" s="1387"/>
      <c r="O54" s="360"/>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1260"/>
      <c r="AP54" s="1260" t="str">
        <f>IF(T54="","",T54)</f>
        <v>Добавить источник для дифференциации</v>
      </c>
      <c r="AQ54" s="1260"/>
      <c r="AR54" s="1260"/>
      <c r="AS54" s="1651">
        <v>4</v>
      </c>
    </row>
    <row s="1651" customFormat="1" customHeight="1" ht="4.2">
      <c r="A55" s="1384" t="s">
        <v>227</v>
      </c>
      <c r="B55" s="1384" t="s">
        <v>228</v>
      </c>
      <c r="C55" s="1383"/>
      <c r="D55" s="1383"/>
      <c r="E55" s="2318"/>
      <c r="F55" s="2317"/>
      <c r="G55" s="1383"/>
      <c r="H55" s="1383"/>
      <c r="I55" s="1383"/>
      <c r="J55" s="1383"/>
      <c r="K55" s="1383"/>
      <c r="L55" s="1386"/>
      <c r="M55" s="1388"/>
      <c r="N55" s="1388"/>
      <c r="O55" s="36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1260"/>
      <c r="AP55" s="1260" t="str">
        <f>IF(T55="","",T55)</f>
        <v>Добавить централизованную систему для дифференциации</v>
      </c>
      <c r="AQ55" s="1260"/>
      <c r="AR55" s="1260"/>
      <c r="AS55" s="1651">
        <v>4</v>
      </c>
    </row>
    <row s="1651" customFormat="1" customHeight="1" ht="4.2">
      <c r="A56" s="1384" t="s">
        <v>227</v>
      </c>
      <c r="B56" s="1384"/>
      <c r="C56" s="1384"/>
      <c r="D56" s="1384"/>
      <c r="E56" s="2317"/>
      <c r="F56" s="1384"/>
      <c r="G56" s="1384"/>
      <c r="H56" s="1384"/>
      <c r="I56" s="1384"/>
      <c r="J56" s="1384"/>
      <c r="K56" s="1384"/>
      <c r="L56" s="1390"/>
      <c r="M56" s="1388"/>
      <c r="N56" s="1388"/>
      <c r="O56" s="360"/>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1633"/>
      <c r="AP56" s="1633" t="str">
        <f>IF(T56="","",T56)</f>
        <v>Добавить территорию для дифференциации</v>
      </c>
      <c r="AQ56" s="1633"/>
      <c r="AR56" s="1633"/>
      <c r="AS56" s="1645">
        <v>4</v>
      </c>
    </row>
    <row s="1651" customFormat="1" customHeight="1" ht="4.2">
      <c r="A57" s="1383"/>
      <c r="B57" s="1383"/>
      <c r="C57" s="1383"/>
      <c r="D57" s="1383"/>
      <c r="E57" s="1384"/>
      <c r="F57" s="1383"/>
      <c r="G57" s="1383"/>
      <c r="H57" s="1383"/>
      <c r="I57" s="1383"/>
      <c r="J57" s="1383"/>
      <c r="K57" s="1383"/>
      <c r="L57" s="1386"/>
      <c r="M57" s="1388"/>
      <c r="N57" s="1388"/>
      <c r="O57" s="36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1260"/>
      <c r="AP57" s="1260" t="str">
        <f>IF(T57="","",T57)</f>
        <v>Добавить наименование тарифа</v>
      </c>
      <c r="AQ57" s="1260"/>
      <c r="AR57" s="1260"/>
      <c r="AS57" s="1651">
        <v>4</v>
      </c>
    </row>
    <row customHeight="1" ht="11.549999999999999">
      <c r="M58" s="1640"/>
      <c r="N58" s="1640"/>
      <c r="O58" s="1644"/>
      <c r="P58" s="1640"/>
      <c r="Q58" s="1640"/>
      <c r="R58" s="1640"/>
      <c r="S58" s="1640"/>
      <c r="AN58" s="1640"/>
      <c r="AO58" s="1640"/>
      <c r="AP58" s="1640"/>
      <c r="AQ58" s="1640"/>
      <c r="AR58" s="1640"/>
      <c r="AS58" s="1640">
        <v>11</v>
      </c>
    </row>
    <row customHeight="1" ht="28.5">
      <c r="O59" s="1644"/>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640">
        <v>27</v>
      </c>
    </row>
    <row customHeight="1" ht="65.25">
      <c r="O60" s="1644"/>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640">
        <v>62</v>
      </c>
    </row>
    <row customHeight="1" ht="14.699999999999998">
      <c r="O61" s="1644"/>
      <c r="AS61" s="1640">
        <v>14</v>
      </c>
    </row>
    <row customHeight="1" ht="18.75">
      <c r="O62" s="1644"/>
      <c r="S62" s="1262"/>
      <c r="T62" s="2313"/>
      <c r="U62" s="2313"/>
      <c r="V62" s="2313"/>
      <c r="W62" s="2313"/>
      <c r="X62" s="2313"/>
      <c r="Y62" s="2313"/>
      <c r="Z62" s="2313"/>
      <c r="AA62" s="2313"/>
      <c r="AB62" s="2313"/>
      <c r="AC62" s="2313"/>
      <c r="AD62" s="2313"/>
      <c r="AE62" s="2313"/>
      <c r="AF62" s="2313"/>
      <c r="AG62" s="2313"/>
      <c r="AH62" s="2313"/>
      <c r="AI62" s="2313"/>
      <c r="AJ62" s="2313"/>
      <c r="AK62" s="2313"/>
      <c r="AL62" s="2313"/>
      <c r="AM62" s="2313"/>
      <c r="AS62" s="1640">
        <v>18</v>
      </c>
    </row>
    <row customHeight="1" ht="18.75">
      <c r="O63" s="1644"/>
      <c r="T63" s="2313"/>
      <c r="U63" s="2313"/>
      <c r="V63" s="2313"/>
      <c r="W63" s="2313"/>
      <c r="X63" s="2313"/>
      <c r="Y63" s="2313"/>
      <c r="Z63" s="2313"/>
      <c r="AA63" s="2313"/>
      <c r="AB63" s="2313"/>
      <c r="AC63" s="2313"/>
      <c r="AD63" s="2313"/>
      <c r="AE63" s="2313"/>
      <c r="AF63" s="2313"/>
      <c r="AG63" s="2313"/>
      <c r="AH63" s="2313"/>
      <c r="AI63" s="2313"/>
      <c r="AJ63" s="2313"/>
      <c r="AK63" s="2313"/>
      <c r="AL63" s="2313"/>
      <c r="AM63" s="2313"/>
      <c r="AS63" s="1640">
        <v>18</v>
      </c>
    </row>
    <row customHeight="1" ht="29.25">
      <c r="O64" s="1644"/>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640">
        <v>28</v>
      </c>
    </row>
    <row customHeight="1" ht="22.5" hidden="1">
      <c r="A65" s="1640" t="s">
        <v>83</v>
      </c>
      <c r="B65" s="1640">
        <v>0</v>
      </c>
      <c r="C65" s="1640">
        <v>0</v>
      </c>
      <c r="D65" s="1640">
        <v>0</v>
      </c>
      <c r="E65" s="1640">
        <v>0</v>
      </c>
      <c r="F65" s="1640">
        <v>0</v>
      </c>
      <c r="G65" s="1640">
        <v>0</v>
      </c>
      <c r="H65" s="1640">
        <v>0</v>
      </c>
      <c r="I65" s="1640">
        <v>0</v>
      </c>
      <c r="J65" s="1640">
        <v>0</v>
      </c>
      <c r="K65" s="1640">
        <v>0</v>
      </c>
      <c r="L65" s="1945">
        <v>0</v>
      </c>
      <c r="M65" s="1971">
        <v>0</v>
      </c>
      <c r="N65" s="1971">
        <v>0</v>
      </c>
      <c r="O65" s="1971">
        <v>0</v>
      </c>
      <c r="P65" s="1971">
        <v>3</v>
      </c>
      <c r="Q65" s="353">
        <v>3</v>
      </c>
      <c r="R65" s="353">
        <v>3</v>
      </c>
      <c r="S65" s="590">
        <v>12</v>
      </c>
      <c r="T65" s="1640">
        <v>31</v>
      </c>
      <c r="U65" s="1640">
        <v>0</v>
      </c>
      <c r="V65" s="1640">
        <v>0</v>
      </c>
      <c r="W65" s="1640">
        <v>0</v>
      </c>
      <c r="X65" s="1640">
        <v>0</v>
      </c>
      <c r="Y65" s="1640">
        <v>0</v>
      </c>
      <c r="Z65" s="1640">
        <v>0</v>
      </c>
      <c r="AA65" s="1640">
        <v>0</v>
      </c>
      <c r="AB65" s="1640">
        <v>0</v>
      </c>
      <c r="AC65" s="1640">
        <v>0</v>
      </c>
      <c r="AD65" s="1640">
        <v>24</v>
      </c>
      <c r="AE65" s="1640">
        <v>0</v>
      </c>
      <c r="AF65" s="1640">
        <v>24</v>
      </c>
      <c r="AG65" s="1640">
        <v>24</v>
      </c>
      <c r="AH65" s="1640">
        <v>11</v>
      </c>
      <c r="AI65" s="1640">
        <v>3</v>
      </c>
      <c r="AJ65" s="1640">
        <v>11</v>
      </c>
      <c r="AK65" s="1640">
        <v>0</v>
      </c>
      <c r="AL65" s="1640">
        <v>4</v>
      </c>
      <c r="AM65" s="1640">
        <v>115</v>
      </c>
      <c r="AN65" s="1645">
        <v>10</v>
      </c>
      <c r="AO65" s="1645">
        <v>10</v>
      </c>
      <c r="AP65" s="1645">
        <v>10</v>
      </c>
      <c r="AQ65" s="1645">
        <v>10</v>
      </c>
      <c r="AR65" s="1645">
        <v>10</v>
      </c>
      <c r="AS65" s="1640">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B8C2CA-E0D6-B01E-AFD2-0.29949D74}"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1" style="1644" width="11.421875" hidden="1" customWidth="1"/>
    <col min="12" max="12" style="2153" width="19.140625" hidden="1" customWidth="1"/>
    <col min="13" max="14" style="2425" width="12.28125" hidden="1" customWidth="1"/>
    <col min="15" max="15" style="2425" width="23.421875" hidden="1" customWidth="1"/>
    <col min="16" max="16" style="2425" width="3.00390625"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S1" s="1640" t="s">
        <v>14</v>
      </c>
    </row>
    <row customHeight="1" ht="21" hidden="1">
      <c r="A2" s="1276"/>
      <c r="B2" s="1276"/>
      <c r="C2" s="1276"/>
      <c r="D2" s="1276"/>
      <c r="E2" s="2317">
        <v>1</v>
      </c>
      <c r="F2" s="1276"/>
      <c r="G2" s="1276"/>
      <c r="H2" s="1276"/>
      <c r="I2" s="1276"/>
      <c r="J2" s="1276"/>
      <c r="K2" s="1276"/>
      <c r="L2" s="1319"/>
      <c r="M2" s="1619"/>
      <c r="N2" s="1619"/>
      <c r="O2" s="1619"/>
      <c r="P2" s="1599"/>
      <c r="Q2" s="369"/>
      <c r="R2" s="364"/>
      <c r="S2" s="1964">
        <f>INDEX(PT_DIFFERENTIATION_NUM_NTAR,MATCH(A2,PT_DIFFERENTIATION_NTAR_ID,0))</f>
      </c>
      <c r="T2" s="1534"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1633"/>
      <c r="AP2" s="1633" t="str">
        <f>IF(T2="","",T2)</f>
        <v>Наименование тарифа</v>
      </c>
      <c r="AQ2" s="1633"/>
      <c r="AR2" s="1633"/>
      <c r="AS2" s="1640">
        <v>0</v>
      </c>
    </row>
    <row customHeight="1" ht="21" hidden="1">
      <c r="A3" s="1276"/>
      <c r="B3" s="1276"/>
      <c r="C3" s="1276"/>
      <c r="D3" s="1276"/>
      <c r="E3" s="2318"/>
      <c r="F3" s="2317">
        <v>1</v>
      </c>
      <c r="G3" s="1276"/>
      <c r="H3" s="1276"/>
      <c r="I3" s="1276"/>
      <c r="J3" s="1276"/>
      <c r="K3" s="1276"/>
      <c r="L3" s="1319"/>
      <c r="M3" s="1619"/>
      <c r="N3" s="1619"/>
      <c r="O3" s="1619"/>
      <c r="P3" s="1946"/>
      <c r="Q3" s="361"/>
      <c r="R3" s="362"/>
      <c r="S3" s="1964">
        <f>INDEX(PT_DIFFERENTIATION_NUM_TER,MATCH(B3,PT_DIFFERENTIATION_TER_ID,0))</f>
      </c>
      <c r="T3" s="1531"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1633"/>
      <c r="AP3" s="1633" t="str">
        <f>IF(T3="","",T3)</f>
        <v>Территория действия тарифа</v>
      </c>
      <c r="AQ3" s="1633"/>
      <c r="AR3" s="1633"/>
      <c r="AS3" s="1640">
        <v>0</v>
      </c>
    </row>
    <row customHeight="1" ht="23.25" hidden="1">
      <c r="A4" s="1276"/>
      <c r="B4" s="1276"/>
      <c r="C4" s="1276"/>
      <c r="D4" s="1276"/>
      <c r="E4" s="2318"/>
      <c r="F4" s="2318"/>
      <c r="G4" s="2317">
        <v>1</v>
      </c>
      <c r="H4" s="1276"/>
      <c r="I4" s="1276"/>
      <c r="J4" s="1276"/>
      <c r="K4" s="1276"/>
      <c r="L4" s="1319"/>
      <c r="M4" s="1619"/>
      <c r="N4" s="1619"/>
      <c r="O4" s="1619"/>
      <c r="P4" s="363"/>
      <c r="Q4" s="361"/>
      <c r="R4" s="362"/>
      <c r="S4" s="1964">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1633"/>
      <c r="AP4" s="1633" t="str">
        <f>IF(T4="","",T4)</f>
        <v>Наименование системы теплоснабжения </v>
      </c>
      <c r="AQ4" s="1633"/>
      <c r="AR4" s="1633"/>
      <c r="AS4" s="1640">
        <v>0</v>
      </c>
    </row>
    <row customHeight="1" ht="21" hidden="1">
      <c r="A5" s="1276"/>
      <c r="B5" s="1276"/>
      <c r="C5" s="1276"/>
      <c r="D5" s="1276"/>
      <c r="E5" s="2318"/>
      <c r="F5" s="2318"/>
      <c r="G5" s="2318"/>
      <c r="H5" s="2317">
        <v>1</v>
      </c>
      <c r="I5" s="1276"/>
      <c r="J5" s="1276"/>
      <c r="K5" s="1276"/>
      <c r="L5" s="1319"/>
      <c r="M5" s="1619"/>
      <c r="N5" s="1619"/>
      <c r="O5" s="1619"/>
      <c r="P5" s="363"/>
      <c r="Q5" s="361"/>
      <c r="R5" s="362"/>
      <c r="S5" s="1964">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1633"/>
      <c r="AP5" s="1633" t="str">
        <f>IF(T5="","",T5)</f>
        <v>Источник тепловой энергии  </v>
      </c>
      <c r="AQ5" s="1633"/>
      <c r="AR5" s="1633"/>
      <c r="AS5" s="1640">
        <v>0</v>
      </c>
    </row>
    <row customHeight="1" ht="47.25" hidden="1">
      <c r="A6" s="1276"/>
      <c r="B6" s="1276"/>
      <c r="C6" s="1276"/>
      <c r="D6" s="1276"/>
      <c r="E6" s="2318"/>
      <c r="F6" s="2318"/>
      <c r="G6" s="2318"/>
      <c r="H6" s="2318"/>
      <c r="I6" s="2155">
        <f>S5&amp;".1"</f>
      </c>
      <c r="J6" s="1276"/>
      <c r="K6" s="1276"/>
      <c r="L6" s="1319" t="s">
        <v>418</v>
      </c>
      <c r="M6" s="1644"/>
      <c r="P6" s="2285">
        <v>1</v>
      </c>
      <c r="Q6" s="1960"/>
      <c r="R6" s="365"/>
      <c r="S6" s="1964">
        <f>$I6</f>
      </c>
      <c r="T6" s="294" t="s">
        <v>419</v>
      </c>
      <c r="U6" s="309"/>
      <c r="V6" s="2273"/>
      <c r="W6" s="2274"/>
      <c r="X6" s="2274"/>
      <c r="Y6" s="2274"/>
      <c r="Z6" s="2274"/>
      <c r="AA6" s="2274"/>
      <c r="AB6" s="2274"/>
      <c r="AC6" s="2275"/>
      <c r="AD6" s="2273"/>
      <c r="AE6" s="2274"/>
      <c r="AF6" s="2274"/>
      <c r="AG6" s="2274"/>
      <c r="AH6" s="2274"/>
      <c r="AI6" s="2274"/>
      <c r="AJ6" s="2274"/>
      <c r="AK6" s="2274"/>
      <c r="AL6" s="2275"/>
      <c r="AM6" s="1267" t="s">
        <v>420</v>
      </c>
      <c r="AO6" s="1633"/>
      <c r="AP6" s="1633" t="str">
        <f>IF(T6="","",T6)</f>
        <v>Схема подключения теплопотребляющей установки к коллектору источника тепловой энергии</v>
      </c>
      <c r="AQ6" s="1633"/>
      <c r="AR6" s="1633"/>
      <c r="AS6" s="1640">
        <v>0</v>
      </c>
    </row>
    <row customHeight="1" ht="21" hidden="1">
      <c r="A7" s="1276"/>
      <c r="B7" s="1276"/>
      <c r="C7" s="1276"/>
      <c r="D7" s="1276"/>
      <c r="E7" s="2318"/>
      <c r="F7" s="2318"/>
      <c r="G7" s="2318"/>
      <c r="H7" s="2318"/>
      <c r="I7" s="2129"/>
      <c r="J7" s="2155">
        <f>I6&amp;".1"</f>
      </c>
      <c r="K7" s="1276"/>
      <c r="L7" s="1319" t="s">
        <v>421</v>
      </c>
      <c r="M7" s="1644"/>
      <c r="N7" s="1640"/>
      <c r="P7" s="2285"/>
      <c r="Q7" s="2285">
        <v>1</v>
      </c>
      <c r="R7" s="366"/>
      <c r="S7" s="1964">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1633"/>
      <c r="AP7" s="1633" t="str">
        <f>IF(T7="","",T7)</f>
        <v>Группа потребителей</v>
      </c>
      <c r="AQ7" s="1633"/>
      <c r="AR7" s="1633"/>
      <c r="AS7" s="1640">
        <v>0</v>
      </c>
    </row>
    <row customHeight="1" ht="21" hidden="1">
      <c r="A8" s="1276"/>
      <c r="B8" s="1276"/>
      <c r="C8" s="1276"/>
      <c r="D8" s="1276"/>
      <c r="E8" s="2318"/>
      <c r="F8" s="2318"/>
      <c r="G8" s="2318"/>
      <c r="H8" s="2318"/>
      <c r="I8" s="2129"/>
      <c r="J8" s="2129"/>
      <c r="K8" s="2155">
        <f>J7&amp;".1"</f>
      </c>
      <c r="L8" s="1319" t="s">
        <v>424</v>
      </c>
      <c r="M8" s="1644"/>
      <c r="N8" s="1640"/>
      <c r="O8" s="1640"/>
      <c r="P8" s="2285"/>
      <c r="Q8" s="2285"/>
      <c r="R8" s="366">
        <v>1</v>
      </c>
      <c r="S8" s="1964">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1645">
        <f>STRCHECKDATE(V9:AL9)</f>
      </c>
      <c r="AO8" s="1633"/>
      <c r="AP8" s="1633" t="str">
        <f>IF(T8="","",T8)</f>
        <v/>
      </c>
      <c r="AQ8" s="1633"/>
      <c r="AR8" s="1633"/>
      <c r="AS8" s="1640">
        <v>0</v>
      </c>
    </row>
    <row customHeight="1" ht="0.75" hidden="1">
      <c r="A9" s="1276"/>
      <c r="B9" s="1276"/>
      <c r="C9" s="1276"/>
      <c r="D9" s="1276"/>
      <c r="E9" s="2318"/>
      <c r="F9" s="2318"/>
      <c r="G9" s="2318"/>
      <c r="H9" s="2318"/>
      <c r="I9" s="2129"/>
      <c r="J9" s="2129"/>
      <c r="K9" s="2155"/>
      <c r="L9" s="1319"/>
      <c r="M9" s="1644"/>
      <c r="N9" s="1640"/>
      <c r="O9" s="1640"/>
      <c r="P9" s="2285"/>
      <c r="Q9" s="2285"/>
      <c r="R9" s="366"/>
      <c r="S9" s="1973"/>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1633"/>
      <c r="AP9" s="1633" t="str">
        <f>IF(T9="","",T9)</f>
        <v/>
      </c>
      <c r="AQ9" s="1633"/>
      <c r="AR9" s="1633"/>
      <c r="AS9" s="1640">
        <v>0</v>
      </c>
    </row>
    <row customHeight="1" ht="15" hidden="1">
      <c r="A10" s="1276"/>
      <c r="B10" s="1276"/>
      <c r="C10" s="1276"/>
      <c r="D10" s="1276"/>
      <c r="E10" s="2318"/>
      <c r="F10" s="2318"/>
      <c r="G10" s="2318"/>
      <c r="H10" s="2318"/>
      <c r="I10" s="2129"/>
      <c r="J10" s="2155"/>
      <c r="K10" s="1276"/>
      <c r="L10" s="1319"/>
      <c r="M10" s="1644"/>
      <c r="N10" s="1640"/>
      <c r="P10" s="2285"/>
      <c r="Q10" s="2285"/>
      <c r="R10" s="365"/>
      <c r="S10" s="1287"/>
      <c r="T10" s="297" t="s">
        <v>426</v>
      </c>
      <c r="U10" s="609"/>
      <c r="V10" s="609"/>
      <c r="W10" s="609"/>
      <c r="X10" s="609"/>
      <c r="Y10" s="609"/>
      <c r="Z10" s="609"/>
      <c r="AA10" s="609"/>
      <c r="AB10" s="609"/>
      <c r="AC10" s="609"/>
      <c r="AD10" s="609"/>
      <c r="AE10" s="609"/>
      <c r="AF10" s="609"/>
      <c r="AG10" s="609"/>
      <c r="AH10" s="609"/>
      <c r="AI10" s="609"/>
      <c r="AJ10" s="609"/>
      <c r="AK10" s="609"/>
      <c r="AL10" s="333"/>
      <c r="AM10" s="2283"/>
      <c r="AO10" s="1633"/>
      <c r="AP10" s="1633" t="str">
        <f>IF(T10="","",T10)</f>
        <v>Добавить вид теплоносителя (параметры теплоносителя)</v>
      </c>
      <c r="AQ10" s="1633"/>
      <c r="AR10" s="1633"/>
      <c r="AS10" s="1640">
        <v>0</v>
      </c>
    </row>
    <row customHeight="1" ht="15" hidden="1">
      <c r="A11" s="1276"/>
      <c r="B11" s="1276"/>
      <c r="C11" s="1276"/>
      <c r="D11" s="1276"/>
      <c r="E11" s="2318"/>
      <c r="F11" s="2318"/>
      <c r="G11" s="2318"/>
      <c r="H11" s="2318"/>
      <c r="I11" s="2155"/>
      <c r="J11" s="1276"/>
      <c r="K11" s="1276"/>
      <c r="L11" s="1319"/>
      <c r="M11" s="1644"/>
      <c r="P11" s="2285"/>
      <c r="Q11" s="1960"/>
      <c r="R11" s="365"/>
      <c r="S11" s="1287"/>
      <c r="T11" s="296" t="s">
        <v>427</v>
      </c>
      <c r="U11" s="609"/>
      <c r="V11" s="609"/>
      <c r="W11" s="609"/>
      <c r="X11" s="609"/>
      <c r="Y11" s="609"/>
      <c r="Z11" s="609"/>
      <c r="AA11" s="609"/>
      <c r="AB11" s="609"/>
      <c r="AC11" s="375"/>
      <c r="AD11" s="609"/>
      <c r="AE11" s="609"/>
      <c r="AF11" s="609"/>
      <c r="AG11" s="609"/>
      <c r="AH11" s="609"/>
      <c r="AI11" s="609"/>
      <c r="AJ11" s="609"/>
      <c r="AK11" s="375"/>
      <c r="AL11" s="609"/>
      <c r="AM11" s="312"/>
      <c r="AO11" s="1633"/>
      <c r="AP11" s="1633" t="str">
        <f>IF(T11="","",T11)</f>
        <v>Добавить группу потребителей</v>
      </c>
      <c r="AQ11" s="1633"/>
      <c r="AR11" s="1633"/>
      <c r="AS11" s="1640">
        <v>0</v>
      </c>
    </row>
    <row customHeight="1" ht="14.25" hidden="1">
      <c r="A12" s="1276"/>
      <c r="B12" s="1276"/>
      <c r="C12" s="1276"/>
      <c r="D12" s="1276"/>
      <c r="E12" s="2318"/>
      <c r="F12" s="2318"/>
      <c r="G12" s="2318"/>
      <c r="H12" s="2317"/>
      <c r="I12" s="1276"/>
      <c r="J12" s="1276"/>
      <c r="K12" s="1276"/>
      <c r="L12" s="1319"/>
      <c r="M12" s="1619"/>
      <c r="N12" s="1619"/>
      <c r="O12" s="1644"/>
      <c r="P12" s="369"/>
      <c r="Q12" s="384"/>
      <c r="R12" s="364"/>
      <c r="S12" s="1287"/>
      <c r="T12" s="374" t="s">
        <v>428</v>
      </c>
      <c r="U12" s="609"/>
      <c r="V12" s="609"/>
      <c r="W12" s="609"/>
      <c r="X12" s="609"/>
      <c r="Y12" s="609"/>
      <c r="Z12" s="609"/>
      <c r="AA12" s="609"/>
      <c r="AB12" s="609"/>
      <c r="AC12" s="375"/>
      <c r="AD12" s="609"/>
      <c r="AE12" s="609"/>
      <c r="AF12" s="609"/>
      <c r="AG12" s="609"/>
      <c r="AH12" s="609"/>
      <c r="AI12" s="609"/>
      <c r="AJ12" s="609"/>
      <c r="AK12" s="375"/>
      <c r="AL12" s="609"/>
      <c r="AM12" s="312"/>
      <c r="AO12" s="1633"/>
      <c r="AP12" s="1633" t="str">
        <f>IF(T12="","",T12)</f>
        <v>Добавить схему подключения</v>
      </c>
      <c r="AQ12" s="1633"/>
      <c r="AR12" s="1633"/>
      <c r="AS12" s="1640">
        <v>0</v>
      </c>
    </row>
    <row s="1651" customFormat="1" customHeight="1" ht="0.75" hidden="1">
      <c r="A13" s="1980"/>
      <c r="B13" s="1980"/>
      <c r="C13" s="1980"/>
      <c r="D13" s="1980"/>
      <c r="E13" s="2318"/>
      <c r="F13" s="2318"/>
      <c r="G13" s="2317"/>
      <c r="H13" s="1980"/>
      <c r="I13" s="1980"/>
      <c r="J13" s="1980"/>
      <c r="K13" s="1980"/>
      <c r="L13" s="1389"/>
      <c r="M13" s="1619"/>
      <c r="N13" s="1619"/>
      <c r="O13" s="164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1260"/>
      <c r="AP13" s="1260" t="str">
        <f>IF(T13="","",T13)</f>
        <v>Добавить источник для дифференциации</v>
      </c>
      <c r="AQ13" s="1260"/>
      <c r="AR13" s="1260"/>
      <c r="AS13" s="1651">
        <v>0</v>
      </c>
    </row>
    <row s="1651" customFormat="1" customHeight="1" ht="0.75" hidden="1">
      <c r="A14" s="1980"/>
      <c r="B14" s="1980"/>
      <c r="C14" s="1980"/>
      <c r="D14" s="1980"/>
      <c r="E14" s="2318"/>
      <c r="F14" s="2317"/>
      <c r="G14" s="1980"/>
      <c r="H14" s="1980"/>
      <c r="I14" s="1980"/>
      <c r="J14" s="1980"/>
      <c r="K14" s="1980"/>
      <c r="L14" s="1389"/>
      <c r="M14" s="1981"/>
      <c r="N14" s="1981"/>
      <c r="O14" s="1644"/>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1260"/>
      <c r="AP14" s="1260" t="str">
        <f>IF(T14="","",T14)</f>
        <v>Добавить централизованную систему для дифференциации</v>
      </c>
      <c r="AQ14" s="1260"/>
      <c r="AR14" s="1260"/>
      <c r="AS14" s="1651">
        <v>0</v>
      </c>
    </row>
    <row s="1651" customFormat="1" customHeight="1" ht="0.75" hidden="1">
      <c r="A15" s="1980"/>
      <c r="B15" s="1980"/>
      <c r="C15" s="1980"/>
      <c r="D15" s="1980"/>
      <c r="E15" s="2317"/>
      <c r="F15" s="1980"/>
      <c r="G15" s="1980"/>
      <c r="H15" s="1980"/>
      <c r="I15" s="1980"/>
      <c r="J15" s="1980"/>
      <c r="K15" s="1980"/>
      <c r="L15" s="1389"/>
      <c r="M15" s="1981"/>
      <c r="N15" s="1981"/>
      <c r="O15" s="1644"/>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1260"/>
      <c r="AP15" s="1260" t="str">
        <f>IF(T15="","",T15)</f>
        <v>Добавить территорию для дифференциации</v>
      </c>
      <c r="AQ15" s="1260"/>
      <c r="AR15" s="1260"/>
      <c r="AS15" s="1651">
        <v>0</v>
      </c>
    </row>
    <row customHeight="1" ht="14.25" hidden="1">
      <c r="AS16" s="1640">
        <v>0</v>
      </c>
    </row>
    <row customHeight="1" ht="14.25" hidden="1">
      <c r="AD17" s="1369"/>
      <c r="AE17" s="1369"/>
      <c r="AF17" s="1369"/>
      <c r="AG17" s="1370"/>
      <c r="AH17" s="2295"/>
      <c r="AI17" s="2296" t="s">
        <v>63</v>
      </c>
      <c r="AJ17" s="2295"/>
      <c r="AK17" s="2296" t="s">
        <v>63</v>
      </c>
      <c r="AS17" s="1640">
        <v>0</v>
      </c>
    </row>
    <row customHeight="1" ht="14.25" hidden="1">
      <c r="AD18" s="1369"/>
      <c r="AE18" s="1369"/>
      <c r="AF18" s="1369"/>
      <c r="AG18" s="337" t="str">
        <f>AH17&amp;"-"&amp;AJ17</f>
        <v>-</v>
      </c>
      <c r="AH18" s="2296"/>
      <c r="AI18" s="2296"/>
      <c r="AJ18" s="2296"/>
      <c r="AK18" s="2296"/>
      <c r="AS18" s="1640">
        <v>0</v>
      </c>
    </row>
    <row customHeight="1" ht="14.25" hidden="1">
      <c r="AS19" s="1640">
        <v>0</v>
      </c>
    </row>
    <row s="1375" customFormat="1" customHeight="1" ht="22.5" hidden="1">
      <c r="A20" s="1640"/>
      <c r="B20" s="1640"/>
      <c r="C20" s="1640"/>
      <c r="D20" s="1640"/>
      <c r="E20" s="1640"/>
      <c r="F20" s="1640"/>
      <c r="G20" s="1640"/>
      <c r="H20" s="1640"/>
      <c r="I20" s="1640"/>
      <c r="J20" s="1640"/>
      <c r="K20" s="1640"/>
      <c r="L20" s="1945"/>
      <c r="M20" s="1971"/>
      <c r="N20" s="1971"/>
      <c r="O20" s="1354" t="s">
        <v>432</v>
      </c>
      <c r="P20" s="1371"/>
      <c r="Q20" s="1380"/>
      <c r="R20" s="1380"/>
      <c r="S20" s="738"/>
      <c r="Z20" s="1376"/>
      <c r="AB20" s="1376"/>
      <c r="AH20" s="1376"/>
      <c r="AJ20" s="1376"/>
      <c r="AN20" s="1645"/>
      <c r="AO20" s="1645"/>
      <c r="AP20" s="1645"/>
      <c r="AQ20" s="1645"/>
      <c r="AR20" s="1645"/>
      <c r="AS20" s="1375">
        <v>0</v>
      </c>
    </row>
    <row s="1375" customFormat="1" customHeight="1" ht="14.25" hidden="1">
      <c r="A21" s="1640"/>
      <c r="B21" s="1640"/>
      <c r="C21" s="1640"/>
      <c r="D21" s="1640"/>
      <c r="E21" s="1640"/>
      <c r="F21" s="1640"/>
      <c r="G21" s="1640"/>
      <c r="H21" s="1640"/>
      <c r="I21" s="1640"/>
      <c r="J21" s="1640"/>
      <c r="K21" s="1640"/>
      <c r="L21" s="1945"/>
      <c r="M21" s="1971"/>
      <c r="N21" s="1971"/>
      <c r="O21" s="1971"/>
      <c r="P21" s="1371"/>
      <c r="Q21" s="1380"/>
      <c r="R21" s="1380"/>
      <c r="S21" s="738"/>
      <c r="AN21" s="1645"/>
      <c r="AO21" s="1645"/>
      <c r="AP21" s="1645"/>
      <c r="AQ21" s="1645"/>
      <c r="AR21" s="1645"/>
      <c r="AS21" s="1375">
        <v>0</v>
      </c>
    </row>
    <row s="1375" customFormat="1" customHeight="1" ht="14.25" hidden="1">
      <c r="A22" s="1640"/>
      <c r="B22" s="1640"/>
      <c r="C22" s="1640"/>
      <c r="D22" s="1640"/>
      <c r="E22" s="1640"/>
      <c r="F22" s="1640"/>
      <c r="G22" s="1640"/>
      <c r="H22" s="1640"/>
      <c r="I22" s="1640"/>
      <c r="J22" s="1640"/>
      <c r="K22" s="1640"/>
      <c r="L22" s="1945"/>
      <c r="M22" s="1971"/>
      <c r="N22" s="1971"/>
      <c r="O22" s="1319" t="s">
        <v>433</v>
      </c>
      <c r="P22" s="1371"/>
      <c r="Q22" s="1380"/>
      <c r="R22" s="1380"/>
      <c r="S22" s="738"/>
      <c r="T22" s="1375" t="s">
        <v>434</v>
      </c>
      <c r="AA22" s="604" t="s">
        <v>435</v>
      </c>
      <c r="AC22" s="604" t="s">
        <v>436</v>
      </c>
      <c r="AD22" s="1375" t="s">
        <v>434</v>
      </c>
      <c r="AI22" s="604" t="s">
        <v>437</v>
      </c>
      <c r="AK22" s="604" t="s">
        <v>436</v>
      </c>
      <c r="AN22" s="1645"/>
      <c r="AO22" s="1645"/>
      <c r="AP22" s="1645"/>
      <c r="AQ22" s="1645"/>
      <c r="AR22" s="1645"/>
      <c r="AS22" s="1375">
        <v>0</v>
      </c>
    </row>
    <row customHeight="1" ht="14.25" hidden="1">
      <c r="O23" s="1319"/>
      <c r="AS23" s="1640">
        <v>0</v>
      </c>
    </row>
    <row customHeight="1" ht="14.25" hidden="1">
      <c r="O24" s="1319"/>
      <c r="AS24" s="1640">
        <v>0</v>
      </c>
    </row>
    <row customHeight="1" ht="14.699999999999998">
      <c r="Q25" s="385"/>
      <c r="R25" s="385"/>
      <c r="S25" s="1284"/>
      <c r="T25" s="466"/>
      <c r="U25" s="466"/>
      <c r="V25" s="1644"/>
      <c r="W25" s="1644"/>
      <c r="X25" s="1644"/>
      <c r="Y25" s="1644"/>
      <c r="Z25" s="1644"/>
      <c r="AA25" s="1644"/>
      <c r="AB25" s="1644"/>
      <c r="AC25" s="1644"/>
      <c r="AD25" s="1644"/>
      <c r="AE25" s="1644"/>
      <c r="AF25" s="1644"/>
      <c r="AG25" s="1644"/>
      <c r="AH25" s="1644"/>
      <c r="AI25" s="1644"/>
      <c r="AJ25" s="1644"/>
      <c r="AK25" s="1644"/>
      <c r="AS25" s="1640">
        <v>14</v>
      </c>
    </row>
    <row customHeight="1" ht="14.699999999999998">
      <c r="Q26" s="385"/>
      <c r="R26" s="385"/>
      <c r="S26" s="22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6"/>
      <c r="U26" s="2276"/>
      <c r="V26" s="2276"/>
      <c r="W26" s="2276"/>
      <c r="X26" s="2276"/>
      <c r="Y26" s="2276"/>
      <c r="Z26" s="2276"/>
      <c r="AA26" s="2276"/>
      <c r="AB26" s="2276"/>
      <c r="AC26" s="2276"/>
      <c r="AD26" s="2276"/>
      <c r="AE26" s="2276"/>
      <c r="AF26" s="2276"/>
      <c r="AG26" s="2276"/>
      <c r="AH26" s="2276"/>
      <c r="AI26" s="2276"/>
      <c r="AJ26" s="2276"/>
      <c r="AK26" s="1252"/>
      <c r="AS26" s="1640">
        <v>14</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640">
        <v>14</v>
      </c>
    </row>
    <row customHeight="1" ht="14.25" hidden="1">
      <c r="Q28" s="385"/>
      <c r="R28" s="385"/>
      <c r="S28" s="1284"/>
      <c r="T28" s="466"/>
      <c r="U28" s="466"/>
      <c r="V28" s="331"/>
      <c r="W28" s="331"/>
      <c r="X28" s="331"/>
      <c r="Y28" s="331"/>
      <c r="Z28" s="331"/>
      <c r="AA28" s="331"/>
      <c r="AB28" s="331"/>
      <c r="AC28" s="331"/>
      <c r="AD28" s="331"/>
      <c r="AE28" s="331"/>
      <c r="AF28" s="331"/>
      <c r="AG28" s="331"/>
      <c r="AH28" s="331"/>
      <c r="AI28" s="331"/>
      <c r="AJ28" s="331"/>
      <c r="AK28" s="331"/>
      <c r="AL28" s="1644"/>
      <c r="AS28" s="1640">
        <v>0</v>
      </c>
    </row>
    <row s="1859" customFormat="1" customHeight="1" ht="25.5" hidden="1">
      <c r="A29" s="1257"/>
      <c r="B29" s="1257"/>
      <c r="C29" s="1257"/>
      <c r="D29" s="1257"/>
      <c r="E29" s="1257"/>
      <c r="F29" s="1257"/>
      <c r="G29" s="1257"/>
      <c r="H29" s="1257"/>
      <c r="I29" s="1257"/>
      <c r="J29" s="1257"/>
      <c r="K29" s="1257"/>
      <c r="L29" s="1389"/>
      <c r="M29" s="1257"/>
      <c r="N29" s="1257"/>
      <c r="O29" s="125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1644"/>
      <c r="AD29" s="2279" t="str">
        <f>IF(TITLE_NAME_OR_PR_CHANGE="",IF(TITLE_NAME_OR_PR="","",TITLE_NAME_OR_PR),TITLE_NAME_OR_PR_CHANGE)</f>
        <v/>
      </c>
      <c r="AE29" s="2279"/>
      <c r="AF29" s="2279"/>
      <c r="AG29" s="2279"/>
      <c r="AH29" s="2279"/>
      <c r="AI29" s="2279"/>
      <c r="AJ29" s="2279"/>
      <c r="AK29" s="1644"/>
      <c r="AL29" s="1644"/>
      <c r="AM29" s="289"/>
      <c r="AN29" s="377"/>
      <c r="AO29" s="377"/>
      <c r="AP29" s="377"/>
      <c r="AQ29" s="377"/>
      <c r="AR29" s="377"/>
      <c r="AS29" s="427">
        <v>0</v>
      </c>
    </row>
    <row s="1859" customFormat="1" customHeight="1" ht="18.75" hidden="1">
      <c r="A30" s="1257"/>
      <c r="B30" s="1257"/>
      <c r="C30" s="1257"/>
      <c r="D30" s="1257"/>
      <c r="E30" s="1257"/>
      <c r="F30" s="1257"/>
      <c r="G30" s="1257"/>
      <c r="H30" s="1257"/>
      <c r="I30" s="1257"/>
      <c r="J30" s="1257"/>
      <c r="K30" s="1257"/>
      <c r="L30" s="1389"/>
      <c r="M30" s="1257"/>
      <c r="N30" s="1257"/>
      <c r="O30" s="125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1644"/>
      <c r="AD30" s="2292" t="str">
        <f>IF(TITLE_DATE_PR_CHANGE="",IF(TITLE_DATE_PR="","",TITLE_DATE_PR),TITLE_DATE_PR_CHANGE)</f>
        <v/>
      </c>
      <c r="AE30" s="2292"/>
      <c r="AF30" s="2292"/>
      <c r="AG30" s="2292"/>
      <c r="AH30" s="2292"/>
      <c r="AI30" s="2292"/>
      <c r="AJ30" s="2292"/>
      <c r="AK30" s="1644"/>
      <c r="AL30" s="1644"/>
      <c r="AM30" s="289"/>
      <c r="AN30" s="377"/>
      <c r="AO30" s="377"/>
      <c r="AP30" s="377"/>
      <c r="AQ30" s="377"/>
      <c r="AR30" s="377"/>
      <c r="AS30" s="427">
        <v>0</v>
      </c>
    </row>
    <row s="1859" customFormat="1" customHeight="1" ht="18.75" hidden="1">
      <c r="A31" s="1257"/>
      <c r="B31" s="1257"/>
      <c r="C31" s="1257"/>
      <c r="D31" s="1257"/>
      <c r="E31" s="1257"/>
      <c r="F31" s="1257"/>
      <c r="G31" s="1257"/>
      <c r="H31" s="1257"/>
      <c r="I31" s="1257"/>
      <c r="J31" s="1257"/>
      <c r="K31" s="1257"/>
      <c r="L31" s="1389"/>
      <c r="M31" s="1257"/>
      <c r="N31" s="1257"/>
      <c r="O31" s="125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1644"/>
      <c r="AD31" s="2279" t="str">
        <f>IF(TITLE_NUMBER_PR_CHANGE="",IF(TITLE_NUMBER_PR="","",TITLE_NUMBER_PR),TITLE_NUMBER_PR_CHANGE)</f>
        <v/>
      </c>
      <c r="AE31" s="2279"/>
      <c r="AF31" s="2279"/>
      <c r="AG31" s="2279"/>
      <c r="AH31" s="2279"/>
      <c r="AI31" s="2279"/>
      <c r="AJ31" s="2279"/>
      <c r="AK31" s="1644"/>
      <c r="AL31" s="1644"/>
      <c r="AM31" s="289"/>
      <c r="AN31" s="377"/>
      <c r="AO31" s="377"/>
      <c r="AP31" s="377"/>
      <c r="AQ31" s="377"/>
      <c r="AR31" s="377"/>
      <c r="AS31" s="427">
        <v>0</v>
      </c>
    </row>
    <row s="1859" customFormat="1" customHeight="1" ht="18.75" hidden="1">
      <c r="A32" s="1257"/>
      <c r="B32" s="1257"/>
      <c r="C32" s="1257"/>
      <c r="D32" s="1257"/>
      <c r="E32" s="1257"/>
      <c r="F32" s="1257"/>
      <c r="G32" s="1257"/>
      <c r="H32" s="1257"/>
      <c r="I32" s="1257"/>
      <c r="J32" s="1257"/>
      <c r="K32" s="1257"/>
      <c r="L32" s="1389"/>
      <c r="M32" s="1257"/>
      <c r="N32" s="1257"/>
      <c r="O32" s="1257"/>
      <c r="S32" s="2278" t="s">
        <v>43</v>
      </c>
      <c r="T32" s="2278"/>
      <c r="U32" s="1381"/>
      <c r="V32" s="2279" t="str">
        <f>IF(TITLE_IST_PUB_CHANGE="",IF(TITLE_IST_PUB="","",TITLE_IST_PUB),TITLE_IST_PUB_CHANGE)</f>
        <v/>
      </c>
      <c r="W32" s="2279"/>
      <c r="X32" s="2279"/>
      <c r="Y32" s="2279"/>
      <c r="Z32" s="2279"/>
      <c r="AA32" s="2279"/>
      <c r="AB32" s="2279"/>
      <c r="AC32" s="1644"/>
      <c r="AD32" s="2279" t="str">
        <f>IF(TITLE_IST_PUB_CHANGE="",IF(TITLE_IST_PUB="","",TITLE_IST_PUB),TITLE_IST_PUB_CHANGE)</f>
        <v/>
      </c>
      <c r="AE32" s="2279"/>
      <c r="AF32" s="2279"/>
      <c r="AG32" s="2279"/>
      <c r="AH32" s="2279"/>
      <c r="AI32" s="2279"/>
      <c r="AJ32" s="2279"/>
      <c r="AK32" s="1644"/>
      <c r="AL32" s="1644"/>
      <c r="AM32" s="289"/>
      <c r="AN32" s="377"/>
      <c r="AO32" s="377"/>
      <c r="AP32" s="377"/>
      <c r="AQ32" s="377"/>
      <c r="AR32" s="377"/>
      <c r="AS32" s="427">
        <v>0</v>
      </c>
    </row>
    <row customHeight="1" ht="14.25" hidden="1">
      <c r="Q33" s="385"/>
      <c r="R33" s="385"/>
      <c r="S33" s="1284"/>
      <c r="T33" s="466"/>
      <c r="U33" s="466"/>
      <c r="V33" s="331"/>
      <c r="W33" s="331"/>
      <c r="X33" s="331"/>
      <c r="Y33" s="331"/>
      <c r="Z33" s="331"/>
      <c r="AA33" s="331"/>
      <c r="AB33" s="331"/>
      <c r="AC33" s="331"/>
      <c r="AD33" s="331"/>
      <c r="AE33" s="331"/>
      <c r="AF33" s="331"/>
      <c r="AG33" s="331"/>
      <c r="AH33" s="331"/>
      <c r="AI33" s="331"/>
      <c r="AJ33" s="331"/>
      <c r="AK33" s="331"/>
      <c r="AL33" s="1644"/>
      <c r="AS33" s="1640">
        <v>0</v>
      </c>
    </row>
    <row s="1859" customFormat="1" customHeight="1" ht="18.75" hidden="1">
      <c r="A34" s="1257"/>
      <c r="B34" s="1257"/>
      <c r="C34" s="1257"/>
      <c r="D34" s="1257"/>
      <c r="E34" s="1257"/>
      <c r="F34" s="1257"/>
      <c r="G34" s="1257"/>
      <c r="H34" s="1257"/>
      <c r="I34" s="1257"/>
      <c r="J34" s="1257"/>
      <c r="K34" s="1257"/>
      <c r="L34" s="1389"/>
      <c r="M34" s="1257"/>
      <c r="N34" s="1257"/>
      <c r="O34" s="125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1644"/>
      <c r="AD34" s="2292" t="str">
        <f>IF(TITLE_DATE_PR_CHANGE="",IF(TITLE_DATE_PR="","",TITLE_DATE_PR),TITLE_DATE_PR_CHANGE)</f>
        <v/>
      </c>
      <c r="AE34" s="2292"/>
      <c r="AF34" s="2292"/>
      <c r="AG34" s="2292"/>
      <c r="AH34" s="2292"/>
      <c r="AI34" s="2292"/>
      <c r="AJ34" s="2292"/>
      <c r="AK34" s="1644"/>
      <c r="AL34" s="1644"/>
      <c r="AM34" s="289"/>
      <c r="AN34" s="377"/>
      <c r="AO34" s="377"/>
      <c r="AP34" s="377"/>
      <c r="AQ34" s="377"/>
      <c r="AR34" s="377"/>
      <c r="AS34" s="427">
        <v>0</v>
      </c>
    </row>
    <row s="1859" customFormat="1" customHeight="1" ht="18.75" hidden="1">
      <c r="A35" s="1257"/>
      <c r="B35" s="1257"/>
      <c r="C35" s="1257"/>
      <c r="D35" s="1257"/>
      <c r="E35" s="1257"/>
      <c r="F35" s="1257"/>
      <c r="G35" s="1257"/>
      <c r="H35" s="1257"/>
      <c r="I35" s="1257"/>
      <c r="J35" s="1257"/>
      <c r="K35" s="1257"/>
      <c r="L35" s="1389"/>
      <c r="M35" s="1257"/>
      <c r="N35" s="1257"/>
      <c r="O35" s="125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1644"/>
      <c r="AD35" s="2279" t="str">
        <f>IF(TITLE_NUMBER_PR_CHANGE="",IF(TITLE_NUMBER_PR="","",TITLE_NUMBER_PR),TITLE_NUMBER_PR_CHANGE)</f>
        <v/>
      </c>
      <c r="AE35" s="2279"/>
      <c r="AF35" s="2279"/>
      <c r="AG35" s="2279"/>
      <c r="AH35" s="2279"/>
      <c r="AI35" s="2279"/>
      <c r="AJ35" s="2279"/>
      <c r="AK35" s="1644"/>
      <c r="AL35" s="1644"/>
      <c r="AM35" s="289"/>
      <c r="AN35" s="377"/>
      <c r="AO35" s="377"/>
      <c r="AP35" s="377"/>
      <c r="AQ35" s="377"/>
      <c r="AR35" s="377"/>
      <c r="AS35" s="427">
        <v>0</v>
      </c>
    </row>
    <row s="1859" customFormat="1" customHeight="1" ht="0">
      <c r="A36" s="1257"/>
      <c r="B36" s="1257"/>
      <c r="C36" s="1257"/>
      <c r="D36" s="1257"/>
      <c r="E36" s="1257"/>
      <c r="F36" s="1257"/>
      <c r="G36" s="1257"/>
      <c r="H36" s="1257"/>
      <c r="I36" s="1257"/>
      <c r="J36" s="1257"/>
      <c r="K36" s="1257"/>
      <c r="L36" s="1389"/>
      <c r="M36" s="1257"/>
      <c r="N36" s="1257"/>
      <c r="O36" s="1257"/>
      <c r="S36" s="1644"/>
      <c r="T36" s="1644"/>
      <c r="U36" s="1976"/>
      <c r="V36" s="1644"/>
      <c r="W36" s="1644"/>
      <c r="X36" s="1644"/>
      <c r="Y36" s="1644"/>
      <c r="Z36" s="1644"/>
      <c r="AA36" s="1644"/>
      <c r="AB36" s="1644"/>
      <c r="AC36" s="1651" t="s">
        <v>438</v>
      </c>
      <c r="AD36" s="1644"/>
      <c r="AE36" s="1644"/>
      <c r="AF36" s="1644"/>
      <c r="AG36" s="1644"/>
      <c r="AH36" s="1644"/>
      <c r="AI36" s="1644"/>
      <c r="AJ36" s="1644"/>
      <c r="AK36" s="1651" t="s">
        <v>438</v>
      </c>
      <c r="AN36" s="377"/>
      <c r="AO36" s="377"/>
      <c r="AP36" s="377"/>
      <c r="AQ36" s="377"/>
      <c r="AR36" s="377"/>
      <c r="AS36" s="427">
        <v>0</v>
      </c>
    </row>
    <row customHeight="1" ht="14.699999999999998">
      <c r="Q37" s="385"/>
      <c r="R37" s="385"/>
      <c r="S37" s="1284"/>
      <c r="T37" s="466"/>
      <c r="U37" s="1253"/>
      <c r="V37" s="2280"/>
      <c r="W37" s="2280"/>
      <c r="X37" s="2280"/>
      <c r="Y37" s="2280"/>
      <c r="Z37" s="2280"/>
      <c r="AA37" s="2280"/>
      <c r="AB37" s="2280"/>
      <c r="AC37" s="2280"/>
      <c r="AD37" s="2280"/>
      <c r="AE37" s="2280"/>
      <c r="AF37" s="2280"/>
      <c r="AG37" s="2280"/>
      <c r="AH37" s="2280"/>
      <c r="AI37" s="2280"/>
      <c r="AJ37" s="2280"/>
      <c r="AK37" s="2280"/>
      <c r="AS37" s="1640">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640">
        <v>14</v>
      </c>
    </row>
    <row customHeight="1" ht="14.699999999999998">
      <c r="Q39" s="385"/>
      <c r="R39" s="385"/>
      <c r="S39" s="2301" t="s">
        <v>89</v>
      </c>
      <c r="T39" s="2237" t="s">
        <v>439</v>
      </c>
      <c r="U39" s="346"/>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640">
        <v>14</v>
      </c>
    </row>
    <row customHeight="1" ht="35.699999999999996">
      <c r="Q40" s="385"/>
      <c r="R40" s="385"/>
      <c r="S40" s="2301"/>
      <c r="T40" s="2237"/>
      <c r="U40" s="1040"/>
      <c r="V40" s="2288" t="s">
        <v>444</v>
      </c>
      <c r="W40" s="2311" t="s">
        <v>445</v>
      </c>
      <c r="X40" s="2290" t="s">
        <v>446</v>
      </c>
      <c r="Y40" s="2291"/>
      <c r="Z40" s="2290" t="s">
        <v>460</v>
      </c>
      <c r="AA40" s="2297"/>
      <c r="AB40" s="2291"/>
      <c r="AC40" s="2306"/>
      <c r="AD40" s="2288" t="s">
        <v>444</v>
      </c>
      <c r="AE40" s="2311" t="s">
        <v>445</v>
      </c>
      <c r="AF40" s="2290" t="s">
        <v>446</v>
      </c>
      <c r="AG40" s="2291"/>
      <c r="AH40" s="2290" t="s">
        <v>447</v>
      </c>
      <c r="AI40" s="2297"/>
      <c r="AJ40" s="2291"/>
      <c r="AK40" s="2306"/>
      <c r="AL40" s="2309"/>
      <c r="AM40" s="2155"/>
      <c r="AS40" s="1640">
        <v>34</v>
      </c>
    </row>
    <row customHeight="1" ht="35.699999999999996">
      <c r="A41" s="1275"/>
      <c r="B41" s="1275" t="s">
        <v>152</v>
      </c>
      <c r="C41" s="1275" t="s">
        <v>153</v>
      </c>
      <c r="D41" s="1275" t="s">
        <v>154</v>
      </c>
      <c r="E41" s="1319" t="s">
        <v>448</v>
      </c>
      <c r="F41" s="1319" t="s">
        <v>449</v>
      </c>
      <c r="G41" s="1319" t="s">
        <v>450</v>
      </c>
      <c r="H41" s="1319" t="s">
        <v>451</v>
      </c>
      <c r="I41" s="1319" t="s">
        <v>452</v>
      </c>
      <c r="J41" s="1319" t="s">
        <v>453</v>
      </c>
      <c r="K41" s="1319" t="s">
        <v>454</v>
      </c>
      <c r="L41" s="1319" t="s">
        <v>433</v>
      </c>
      <c r="Q41" s="385"/>
      <c r="R41" s="385"/>
      <c r="S41" s="2301"/>
      <c r="T41" s="2237"/>
      <c r="U41" s="311"/>
      <c r="V41" s="2289"/>
      <c r="W41" s="2312"/>
      <c r="X41" s="1944" t="s">
        <v>455</v>
      </c>
      <c r="Y41" s="1944" t="s">
        <v>456</v>
      </c>
      <c r="Z41" s="1944" t="s">
        <v>457</v>
      </c>
      <c r="AA41" s="2298" t="s">
        <v>458</v>
      </c>
      <c r="AB41" s="2299"/>
      <c r="AC41" s="2307"/>
      <c r="AD41" s="2289"/>
      <c r="AE41" s="2312"/>
      <c r="AF41" s="1944" t="s">
        <v>455</v>
      </c>
      <c r="AG41" s="1944" t="s">
        <v>456</v>
      </c>
      <c r="AH41" s="1944" t="s">
        <v>457</v>
      </c>
      <c r="AI41" s="2298" t="s">
        <v>458</v>
      </c>
      <c r="AJ41" s="2299"/>
      <c r="AK41" s="2307"/>
      <c r="AL41" s="2310"/>
      <c r="AM41" s="2155"/>
      <c r="AS41" s="1640">
        <v>34</v>
      </c>
    </row>
    <row s="1650" customFormat="1" customHeight="1" ht="11.25" hidden="1">
      <c r="A42" s="1275"/>
      <c r="B42" s="1275"/>
      <c r="C42" s="1275"/>
      <c r="D42" s="1275"/>
      <c r="E42" s="1275"/>
      <c r="F42" s="1275"/>
      <c r="G42" s="1275"/>
      <c r="H42" s="1275"/>
      <c r="I42" s="1275"/>
      <c r="J42" s="1275"/>
      <c r="K42" s="1275"/>
      <c r="L42" s="1319"/>
      <c r="M42" s="1971"/>
      <c r="N42" s="1971"/>
      <c r="O42" s="1971"/>
      <c r="P42" s="1255"/>
      <c r="Q42" s="1256"/>
      <c r="R42" s="1263">
        <v>1</v>
      </c>
      <c r="S42" s="1286" t="s">
        <v>118</v>
      </c>
      <c r="T42" s="1264" t="s">
        <v>103</v>
      </c>
      <c r="U42" s="1254" t="str">
        <f>OFFSET(U42,0,-1)</f>
        <v>2</v>
      </c>
      <c r="V42" s="1962">
        <f>OFFSET(V42,0,-1)+1</f>
        <v>3</v>
      </c>
      <c r="W42" s="1962"/>
      <c r="X42" s="1962">
        <f>OFFSET(X42,0,-1)+1</f>
        <v>1</v>
      </c>
      <c r="Y42" s="1962">
        <f>OFFSET(Y42,0,-1)+1</f>
        <v>2</v>
      </c>
      <c r="Z42" s="1962">
        <f>OFFSET(Z42,0,-1)+1</f>
        <v>3</v>
      </c>
      <c r="AA42" s="2300">
        <f>OFFSET(AA42,0,-1)+1</f>
        <v>4</v>
      </c>
      <c r="AB42" s="2300"/>
      <c r="AC42" s="1962">
        <f>OFFSET(AC42,0,-2)+1</f>
        <v>5</v>
      </c>
      <c r="AD42" s="1962">
        <f>OFFSET(AD42,0,-1)+1</f>
        <v>6</v>
      </c>
      <c r="AE42" s="1962"/>
      <c r="AF42" s="1962">
        <f>OFFSET(AF42,0,-1)+1</f>
        <v>1</v>
      </c>
      <c r="AG42" s="1962">
        <f>OFFSET(AG42,0,-1)+1</f>
        <v>2</v>
      </c>
      <c r="AH42" s="1962">
        <f>OFFSET(AH42,0,-1)+1</f>
        <v>3</v>
      </c>
      <c r="AI42" s="2300">
        <f>OFFSET(AI42,0,-1)+1</f>
        <v>4</v>
      </c>
      <c r="AJ42" s="2300"/>
      <c r="AK42" s="1962">
        <f>OFFSET(AK42,0,-2)+1</f>
        <v>5</v>
      </c>
      <c r="AL42" s="1254">
        <f>OFFSET(AL42,0,-1)</f>
        <v>5</v>
      </c>
      <c r="AM42" s="1962">
        <f>OFFSET(AM42,0,-1)+1</f>
        <v>6</v>
      </c>
      <c r="AN42" s="1645"/>
      <c r="AO42" s="1645"/>
      <c r="AP42" s="1645"/>
      <c r="AQ42" s="1645"/>
      <c r="AR42" s="1645"/>
      <c r="AS42" s="1650">
        <v>0</v>
      </c>
    </row>
    <row customHeight="1" ht="22.049999999999997">
      <c r="A43" s="1276" t="s">
        <v>227</v>
      </c>
      <c r="B43" s="1276"/>
      <c r="C43" s="1276"/>
      <c r="D43" s="1276"/>
      <c r="E43" s="2317">
        <v>1</v>
      </c>
      <c r="F43" s="1276"/>
      <c r="G43" s="1276"/>
      <c r="H43" s="1276"/>
      <c r="I43" s="1276"/>
      <c r="J43" s="1276"/>
      <c r="K43" s="1276"/>
      <c r="L43" s="1319"/>
      <c r="M43" s="1619"/>
      <c r="N43" s="1619"/>
      <c r="O43" s="1619"/>
      <c r="P43" s="1599"/>
      <c r="Q43" s="369"/>
      <c r="R43" s="364"/>
      <c r="S43" s="1964">
        <f>INDEX(PT_DIFFERENTIATION_NUM_NTAR,MATCH(A43,PT_DIFFERENTIATION_NTAR_ID,0))</f>
        <v>0</v>
      </c>
      <c r="T43" s="1534"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33"/>
      <c r="AP43" s="1633" t="str">
        <f>IF(T43="","",T43)</f>
        <v>Наименование тарифа</v>
      </c>
      <c r="AQ43" s="1633"/>
      <c r="AR43" s="1633"/>
      <c r="AS43" s="1640">
        <v>21</v>
      </c>
    </row>
    <row customHeight="1" ht="22.049999999999997">
      <c r="A44" s="1276" t="s">
        <v>227</v>
      </c>
      <c r="B44" s="1276" t="s">
        <v>228</v>
      </c>
      <c r="C44" s="1276"/>
      <c r="D44" s="1276"/>
      <c r="E44" s="2318"/>
      <c r="F44" s="2317">
        <v>1</v>
      </c>
      <c r="G44" s="1276"/>
      <c r="H44" s="1276"/>
      <c r="I44" s="1276"/>
      <c r="J44" s="1276"/>
      <c r="K44" s="1276"/>
      <c r="L44" s="1319"/>
      <c r="M44" s="1619"/>
      <c r="N44" s="1619"/>
      <c r="O44" s="1619"/>
      <c r="P44" s="1946"/>
      <c r="Q44" s="361"/>
      <c r="R44" s="362"/>
      <c r="S44" s="1964" t="str">
        <f>INDEX(PT_DIFFERENTIATION_NUM_TER,MATCH(B44,PT_DIFFERENTIATION_TER_ID,0))</f>
        <v>.</v>
      </c>
      <c r="T44" s="1531"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1633"/>
      <c r="AP44" s="1633" t="str">
        <f>IF(T44="","",T44)</f>
        <v>Территория действия тарифа</v>
      </c>
      <c r="AQ44" s="1633"/>
      <c r="AR44" s="1633"/>
      <c r="AS44" s="1640">
        <v>21</v>
      </c>
    </row>
    <row customHeight="1" ht="24">
      <c r="A45" s="1276" t="s">
        <v>227</v>
      </c>
      <c r="B45" s="1276" t="s">
        <v>228</v>
      </c>
      <c r="C45" s="1276" t="s">
        <v>229</v>
      </c>
      <c r="D45" s="1276"/>
      <c r="E45" s="2318"/>
      <c r="F45" s="2318"/>
      <c r="G45" s="2317">
        <v>1</v>
      </c>
      <c r="H45" s="1276"/>
      <c r="I45" s="1276"/>
      <c r="J45" s="1276"/>
      <c r="K45" s="1276"/>
      <c r="L45" s="1319"/>
      <c r="M45" s="1619"/>
      <c r="N45" s="1619"/>
      <c r="O45" s="1619"/>
      <c r="P45" s="363"/>
      <c r="Q45" s="361"/>
      <c r="R45" s="362"/>
      <c r="S45" s="1964"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1633"/>
      <c r="AP45" s="1633" t="str">
        <f>IF(T45="","",T45)</f>
        <v>Наименование системы теплоснабжения </v>
      </c>
      <c r="AQ45" s="1633"/>
      <c r="AR45" s="1633"/>
      <c r="AS45" s="1640">
        <v>23</v>
      </c>
    </row>
    <row customHeight="1" ht="22.049999999999997">
      <c r="A46" s="1276" t="s">
        <v>227</v>
      </c>
      <c r="B46" s="1276" t="s">
        <v>228</v>
      </c>
      <c r="C46" s="1276" t="s">
        <v>229</v>
      </c>
      <c r="D46" s="1276" t="s">
        <v>230</v>
      </c>
      <c r="E46" s="2318"/>
      <c r="F46" s="2318"/>
      <c r="G46" s="2318"/>
      <c r="H46" s="2317">
        <v>1</v>
      </c>
      <c r="I46" s="1276"/>
      <c r="J46" s="1276"/>
      <c r="K46" s="1276"/>
      <c r="L46" s="1319"/>
      <c r="M46" s="1619"/>
      <c r="N46" s="1619"/>
      <c r="O46" s="1619"/>
      <c r="P46" s="363"/>
      <c r="Q46" s="361"/>
      <c r="R46" s="362"/>
      <c r="S46" s="1964"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1633"/>
      <c r="AP46" s="1633" t="str">
        <f>IF(T46="","",T46)</f>
        <v>Источник тепловой энергии  </v>
      </c>
      <c r="AQ46" s="1633"/>
      <c r="AR46" s="1633"/>
      <c r="AS46" s="1640">
        <v>21</v>
      </c>
    </row>
    <row customHeight="1" ht="49.5">
      <c r="A47" s="1276" t="s">
        <v>227</v>
      </c>
      <c r="B47" s="1276" t="s">
        <v>228</v>
      </c>
      <c r="C47" s="1276" t="s">
        <v>229</v>
      </c>
      <c r="D47" s="1276" t="s">
        <v>230</v>
      </c>
      <c r="E47" s="2318"/>
      <c r="F47" s="2318"/>
      <c r="G47" s="2318"/>
      <c r="H47" s="2318"/>
      <c r="I47" s="2155" t="str">
        <f>S46&amp;".1"</f>
        <v>....1</v>
      </c>
      <c r="J47" s="1276"/>
      <c r="K47" s="1276"/>
      <c r="L47" s="1319" t="s">
        <v>418</v>
      </c>
      <c r="P47" s="2285">
        <v>1</v>
      </c>
      <c r="Q47" s="1960"/>
      <c r="R47" s="365"/>
      <c r="S47" s="1964" t="str">
        <f>$I47</f>
        <v>....1</v>
      </c>
      <c r="T47" s="294" t="s">
        <v>419</v>
      </c>
      <c r="U47" s="309"/>
      <c r="V47" s="2273"/>
      <c r="W47" s="2274"/>
      <c r="X47" s="2274"/>
      <c r="Y47" s="2274"/>
      <c r="Z47" s="2274"/>
      <c r="AA47" s="2274"/>
      <c r="AB47" s="2274"/>
      <c r="AC47" s="2275"/>
      <c r="AD47" s="2273"/>
      <c r="AE47" s="2274"/>
      <c r="AF47" s="2274"/>
      <c r="AG47" s="2274"/>
      <c r="AH47" s="2274"/>
      <c r="AI47" s="2274"/>
      <c r="AJ47" s="2274"/>
      <c r="AK47" s="2274"/>
      <c r="AL47" s="2275"/>
      <c r="AM47" s="1267" t="s">
        <v>420</v>
      </c>
      <c r="AO47" s="1633"/>
      <c r="AP47" s="1633" t="str">
        <f>IF(T47="","",T47)</f>
        <v>Схема подключения теплопотребляющей установки к коллектору источника тепловой энергии</v>
      </c>
      <c r="AQ47" s="1633"/>
      <c r="AR47" s="1633"/>
      <c r="AS47" s="1640">
        <v>47</v>
      </c>
    </row>
    <row customHeight="1" ht="22.049999999999997">
      <c r="A48" s="1276" t="s">
        <v>227</v>
      </c>
      <c r="B48" s="1276" t="s">
        <v>228</v>
      </c>
      <c r="C48" s="1276" t="s">
        <v>229</v>
      </c>
      <c r="D48" s="1276" t="s">
        <v>230</v>
      </c>
      <c r="E48" s="2318"/>
      <c r="F48" s="2318"/>
      <c r="G48" s="2318"/>
      <c r="H48" s="2318"/>
      <c r="I48" s="2129"/>
      <c r="J48" s="2155" t="str">
        <f>I47&amp;".1"</f>
        <v>....1.1</v>
      </c>
      <c r="K48" s="1276"/>
      <c r="L48" s="1319" t="s">
        <v>421</v>
      </c>
      <c r="P48" s="2285"/>
      <c r="Q48" s="2285">
        <v>1</v>
      </c>
      <c r="R48" s="366"/>
      <c r="S48" s="1964" t="str">
        <f>$J48</f>
        <v>....1.1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1633"/>
      <c r="AP48" s="1633" t="str">
        <f>IF(T48="","",T48)</f>
        <v>Группа потребителей</v>
      </c>
      <c r="AQ48" s="1633"/>
      <c r="AR48" s="1633"/>
      <c r="AS48" s="1640">
        <v>21</v>
      </c>
    </row>
    <row customHeight="1" ht="22.049999999999997">
      <c r="A49" s="1276" t="s">
        <v>227</v>
      </c>
      <c r="B49" s="1276" t="s">
        <v>228</v>
      </c>
      <c r="C49" s="1276" t="s">
        <v>229</v>
      </c>
      <c r="D49" s="1276" t="s">
        <v>230</v>
      </c>
      <c r="E49" s="2318"/>
      <c r="F49" s="2318"/>
      <c r="G49" s="2318"/>
      <c r="H49" s="2318"/>
      <c r="I49" s="2129"/>
      <c r="J49" s="2129"/>
      <c r="K49" s="2155" t="str">
        <f>J48&amp;".1"</f>
        <v>....1.1.1</v>
      </c>
      <c r="L49" s="1319" t="s">
        <v>424</v>
      </c>
      <c r="P49" s="2285"/>
      <c r="Q49" s="2285"/>
      <c r="R49" s="366">
        <v>1</v>
      </c>
      <c r="S49" s="1964" t="str">
        <f>$K49</f>
        <v>....1.1.1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425</v>
      </c>
      <c r="AN49" s="1645">
        <f>STRCHECKDATE(V50:AL50)</f>
      </c>
      <c r="AO49" s="1633"/>
      <c r="AP49" s="1633" t="str">
        <f>IF(T49="","",T49)</f>
        <v/>
      </c>
      <c r="AQ49" s="1633"/>
      <c r="AR49" s="1633"/>
      <c r="AS49" s="1640">
        <v>21</v>
      </c>
    </row>
    <row customHeight="1" ht="1.05">
      <c r="A50" s="1276" t="s">
        <v>227</v>
      </c>
      <c r="B50" s="1276" t="s">
        <v>228</v>
      </c>
      <c r="C50" s="1276" t="s">
        <v>229</v>
      </c>
      <c r="D50" s="1276" t="s">
        <v>230</v>
      </c>
      <c r="E50" s="2318"/>
      <c r="F50" s="2318"/>
      <c r="G50" s="2318"/>
      <c r="H50" s="2318"/>
      <c r="I50" s="2129"/>
      <c r="J50" s="2129"/>
      <c r="K50" s="2155"/>
      <c r="L50" s="1319"/>
      <c r="P50" s="2285"/>
      <c r="Q50" s="2285"/>
      <c r="R50" s="366"/>
      <c r="S50" s="1973"/>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1633"/>
      <c r="AP50" s="1633" t="str">
        <f>IF(T50="","",T50)</f>
        <v/>
      </c>
      <c r="AQ50" s="1633"/>
      <c r="AR50" s="1633"/>
      <c r="AS50" s="1640">
        <v>1</v>
      </c>
    </row>
    <row customHeight="1" ht="11.549999999999999">
      <c r="A51" s="1276" t="s">
        <v>227</v>
      </c>
      <c r="B51" s="1276" t="s">
        <v>228</v>
      </c>
      <c r="C51" s="1276" t="s">
        <v>229</v>
      </c>
      <c r="D51" s="1276" t="s">
        <v>230</v>
      </c>
      <c r="E51" s="2318"/>
      <c r="F51" s="2318"/>
      <c r="G51" s="2318"/>
      <c r="H51" s="2318"/>
      <c r="I51" s="2129"/>
      <c r="J51" s="2155"/>
      <c r="K51" s="1276"/>
      <c r="L51" s="1319"/>
      <c r="P51" s="2285"/>
      <c r="Q51" s="2285"/>
      <c r="R51" s="365"/>
      <c r="S51" s="1287"/>
      <c r="T51" s="297" t="s">
        <v>426</v>
      </c>
      <c r="U51" s="609"/>
      <c r="V51" s="609"/>
      <c r="W51" s="609"/>
      <c r="X51" s="609"/>
      <c r="Y51" s="609"/>
      <c r="Z51" s="609"/>
      <c r="AA51" s="609"/>
      <c r="AB51" s="609"/>
      <c r="AC51" s="609"/>
      <c r="AD51" s="609"/>
      <c r="AE51" s="609"/>
      <c r="AF51" s="609"/>
      <c r="AG51" s="609"/>
      <c r="AH51" s="609"/>
      <c r="AI51" s="609"/>
      <c r="AJ51" s="609"/>
      <c r="AK51" s="609"/>
      <c r="AL51" s="333"/>
      <c r="AM51" s="2283"/>
      <c r="AO51" s="1633"/>
      <c r="AP51" s="1633" t="str">
        <f>IF(T51="","",T51)</f>
        <v>Добавить вид теплоносителя (параметры теплоносителя)</v>
      </c>
      <c r="AQ51" s="1633"/>
      <c r="AR51" s="1633"/>
      <c r="AS51" s="1640">
        <v>11</v>
      </c>
    </row>
    <row customHeight="1" ht="11.549999999999999">
      <c r="A52" s="1276" t="s">
        <v>227</v>
      </c>
      <c r="B52" s="1276" t="s">
        <v>228</v>
      </c>
      <c r="C52" s="1276" t="s">
        <v>229</v>
      </c>
      <c r="D52" s="1276" t="s">
        <v>230</v>
      </c>
      <c r="E52" s="2318"/>
      <c r="F52" s="2318"/>
      <c r="G52" s="2318"/>
      <c r="H52" s="2318"/>
      <c r="I52" s="2155"/>
      <c r="J52" s="1276"/>
      <c r="K52" s="1276"/>
      <c r="L52" s="1319"/>
      <c r="P52" s="2285"/>
      <c r="Q52" s="1960"/>
      <c r="R52" s="365"/>
      <c r="S52" s="1287"/>
      <c r="T52" s="296" t="s">
        <v>427</v>
      </c>
      <c r="U52" s="609"/>
      <c r="V52" s="609"/>
      <c r="W52" s="609"/>
      <c r="X52" s="609"/>
      <c r="Y52" s="609"/>
      <c r="Z52" s="609"/>
      <c r="AA52" s="609"/>
      <c r="AB52" s="609"/>
      <c r="AC52" s="375"/>
      <c r="AD52" s="609"/>
      <c r="AE52" s="609"/>
      <c r="AF52" s="609"/>
      <c r="AG52" s="609"/>
      <c r="AH52" s="609"/>
      <c r="AI52" s="609"/>
      <c r="AJ52" s="609"/>
      <c r="AK52" s="375"/>
      <c r="AL52" s="609"/>
      <c r="AM52" s="312"/>
      <c r="AO52" s="1633"/>
      <c r="AP52" s="1633" t="str">
        <f>IF(T52="","",T52)</f>
        <v>Добавить группу потребителей</v>
      </c>
      <c r="AQ52" s="1633"/>
      <c r="AR52" s="1633"/>
      <c r="AS52" s="1640">
        <v>11</v>
      </c>
    </row>
    <row customHeight="1" ht="14.699999999999998">
      <c r="A53" s="1276" t="s">
        <v>227</v>
      </c>
      <c r="B53" s="1276" t="s">
        <v>228</v>
      </c>
      <c r="C53" s="1276" t="s">
        <v>229</v>
      </c>
      <c r="D53" s="1276" t="s">
        <v>230</v>
      </c>
      <c r="E53" s="2318"/>
      <c r="F53" s="2318"/>
      <c r="G53" s="2318"/>
      <c r="H53" s="2317"/>
      <c r="I53" s="1276"/>
      <c r="J53" s="1276"/>
      <c r="K53" s="1276"/>
      <c r="L53" s="1319"/>
      <c r="M53" s="1619"/>
      <c r="N53" s="1619"/>
      <c r="O53" s="1644"/>
      <c r="P53" s="369"/>
      <c r="Q53" s="384"/>
      <c r="R53" s="364"/>
      <c r="S53" s="1287"/>
      <c r="T53" s="374" t="s">
        <v>428</v>
      </c>
      <c r="U53" s="609"/>
      <c r="V53" s="609"/>
      <c r="W53" s="609"/>
      <c r="X53" s="609"/>
      <c r="Y53" s="609"/>
      <c r="Z53" s="609"/>
      <c r="AA53" s="609"/>
      <c r="AB53" s="609"/>
      <c r="AC53" s="375"/>
      <c r="AD53" s="609"/>
      <c r="AE53" s="609"/>
      <c r="AF53" s="609"/>
      <c r="AG53" s="609"/>
      <c r="AH53" s="609"/>
      <c r="AI53" s="609"/>
      <c r="AJ53" s="609"/>
      <c r="AK53" s="375"/>
      <c r="AL53" s="609"/>
      <c r="AM53" s="312"/>
      <c r="AO53" s="1633"/>
      <c r="AP53" s="1633" t="str">
        <f>IF(T53="","",T53)</f>
        <v>Добавить схему подключения</v>
      </c>
      <c r="AQ53" s="1633"/>
      <c r="AR53" s="1633"/>
      <c r="AS53" s="1640">
        <v>14</v>
      </c>
    </row>
    <row s="1651" customFormat="1" customHeight="1" ht="1.05">
      <c r="A54" s="1276" t="s">
        <v>227</v>
      </c>
      <c r="B54" s="1276" t="s">
        <v>228</v>
      </c>
      <c r="C54" s="1276" t="s">
        <v>229</v>
      </c>
      <c r="D54" s="1980"/>
      <c r="E54" s="2318"/>
      <c r="F54" s="2318"/>
      <c r="G54" s="2317"/>
      <c r="H54" s="1980"/>
      <c r="I54" s="1980"/>
      <c r="J54" s="1980"/>
      <c r="K54" s="1980"/>
      <c r="L54" s="1389"/>
      <c r="M54" s="1619"/>
      <c r="N54" s="1619"/>
      <c r="O54" s="164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1260"/>
      <c r="AP54" s="1260" t="str">
        <f>IF(T54="","",T54)</f>
        <v>Добавить источник для дифференциации</v>
      </c>
      <c r="AQ54" s="1260"/>
      <c r="AR54" s="1260"/>
      <c r="AS54" s="1651">
        <v>1</v>
      </c>
    </row>
    <row s="1651" customFormat="1" customHeight="1" ht="1.05">
      <c r="A55" s="1276" t="s">
        <v>227</v>
      </c>
      <c r="B55" s="1276" t="s">
        <v>228</v>
      </c>
      <c r="C55" s="1980"/>
      <c r="D55" s="1980"/>
      <c r="E55" s="2318"/>
      <c r="F55" s="2317"/>
      <c r="G55" s="1980"/>
      <c r="H55" s="1980"/>
      <c r="I55" s="1980"/>
      <c r="J55" s="1980"/>
      <c r="K55" s="1980"/>
      <c r="L55" s="1389"/>
      <c r="M55" s="1981"/>
      <c r="N55" s="1981"/>
      <c r="O55" s="1644"/>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1260"/>
      <c r="AP55" s="1260" t="str">
        <f>IF(T55="","",T55)</f>
        <v>Добавить централизованную систему для дифференциации</v>
      </c>
      <c r="AQ55" s="1260"/>
      <c r="AR55" s="1260"/>
      <c r="AS55" s="1651">
        <v>1</v>
      </c>
    </row>
    <row s="1651" customFormat="1" customHeight="1" ht="1.05">
      <c r="A56" s="1276" t="s">
        <v>227</v>
      </c>
      <c r="B56" s="1276"/>
      <c r="C56" s="1276"/>
      <c r="D56" s="1276"/>
      <c r="E56" s="2317"/>
      <c r="F56" s="1276"/>
      <c r="G56" s="1276"/>
      <c r="H56" s="1276"/>
      <c r="I56" s="1276"/>
      <c r="J56" s="1276"/>
      <c r="K56" s="1276"/>
      <c r="L56" s="1319"/>
      <c r="M56" s="1981"/>
      <c r="N56" s="1981"/>
      <c r="O56" s="1644"/>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1633"/>
      <c r="AP56" s="1633" t="str">
        <f>IF(T56="","",T56)</f>
        <v>Добавить территорию для дифференциации</v>
      </c>
      <c r="AQ56" s="1633"/>
      <c r="AR56" s="1633"/>
      <c r="AS56" s="1645">
        <v>1</v>
      </c>
    </row>
    <row s="1651" customFormat="1" customHeight="1" ht="1.05">
      <c r="A57" s="1980"/>
      <c r="B57" s="1980"/>
      <c r="C57" s="1980"/>
      <c r="D57" s="1980"/>
      <c r="E57" s="1276"/>
      <c r="F57" s="1980"/>
      <c r="G57" s="1980"/>
      <c r="H57" s="1980"/>
      <c r="I57" s="1980"/>
      <c r="J57" s="1980"/>
      <c r="K57" s="1980"/>
      <c r="L57" s="1389"/>
      <c r="M57" s="1981"/>
      <c r="N57" s="1981"/>
      <c r="O57" s="1644"/>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1260"/>
      <c r="AP57" s="1260" t="str">
        <f>IF(T57="","",T57)</f>
        <v>Добавить наименование тарифа</v>
      </c>
      <c r="AQ57" s="1260"/>
      <c r="AR57" s="1260"/>
      <c r="AS57" s="1651">
        <v>1</v>
      </c>
    </row>
    <row customHeight="1" ht="11.549999999999999">
      <c r="M58" s="1640"/>
      <c r="N58" s="1640"/>
      <c r="O58" s="1644"/>
      <c r="P58" s="1640"/>
      <c r="Q58" s="1640"/>
      <c r="R58" s="1640"/>
      <c r="S58" s="1640"/>
      <c r="AN58" s="1640"/>
      <c r="AO58" s="1640"/>
      <c r="AP58" s="1640"/>
      <c r="AQ58" s="1640"/>
      <c r="AR58" s="1640"/>
      <c r="AS58" s="1640">
        <v>11</v>
      </c>
    </row>
    <row customHeight="1" ht="28.5">
      <c r="O59" s="1644"/>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640">
        <v>27</v>
      </c>
    </row>
    <row customHeight="1" ht="65.25">
      <c r="O60" s="1644"/>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640">
        <v>62</v>
      </c>
    </row>
    <row customHeight="1" ht="14.699999999999998">
      <c r="O61" s="1644"/>
      <c r="AS61" s="1640">
        <v>14</v>
      </c>
    </row>
    <row customHeight="1" ht="18.75">
      <c r="O62" s="1644"/>
      <c r="S62" s="1262"/>
      <c r="T62" s="2313"/>
      <c r="U62" s="2313"/>
      <c r="V62" s="2313"/>
      <c r="W62" s="2313"/>
      <c r="X62" s="2313"/>
      <c r="Y62" s="2313"/>
      <c r="Z62" s="2313"/>
      <c r="AA62" s="2313"/>
      <c r="AB62" s="2313"/>
      <c r="AC62" s="2313"/>
      <c r="AD62" s="2313"/>
      <c r="AE62" s="2313"/>
      <c r="AF62" s="2313"/>
      <c r="AG62" s="2313"/>
      <c r="AH62" s="2313"/>
      <c r="AI62" s="2313"/>
      <c r="AJ62" s="2313"/>
      <c r="AK62" s="2313"/>
      <c r="AL62" s="2313"/>
      <c r="AM62" s="2313"/>
      <c r="AS62" s="1640">
        <v>18</v>
      </c>
    </row>
    <row customHeight="1" ht="18.75">
      <c r="O63" s="1644"/>
      <c r="T63" s="2313"/>
      <c r="U63" s="2313"/>
      <c r="V63" s="2313"/>
      <c r="W63" s="2313"/>
      <c r="X63" s="2313"/>
      <c r="Y63" s="2313"/>
      <c r="Z63" s="2313"/>
      <c r="AA63" s="2313"/>
      <c r="AB63" s="2313"/>
      <c r="AC63" s="2313"/>
      <c r="AD63" s="2313"/>
      <c r="AE63" s="2313"/>
      <c r="AF63" s="2313"/>
      <c r="AG63" s="2313"/>
      <c r="AH63" s="2313"/>
      <c r="AI63" s="2313"/>
      <c r="AJ63" s="2313"/>
      <c r="AK63" s="2313"/>
      <c r="AL63" s="2313"/>
      <c r="AM63" s="2313"/>
      <c r="AS63" s="1640">
        <v>18</v>
      </c>
    </row>
    <row customHeight="1" ht="29.25">
      <c r="O64" s="1644"/>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640">
        <v>28</v>
      </c>
    </row>
    <row customHeight="1" ht="22.5" hidden="1">
      <c r="A65" s="1640" t="s">
        <v>83</v>
      </c>
      <c r="B65" s="1640">
        <v>0</v>
      </c>
      <c r="C65" s="1640">
        <v>0</v>
      </c>
      <c r="D65" s="1640">
        <v>0</v>
      </c>
      <c r="E65" s="1640">
        <v>0</v>
      </c>
      <c r="F65" s="1640">
        <v>0</v>
      </c>
      <c r="G65" s="1640">
        <v>0</v>
      </c>
      <c r="H65" s="1640">
        <v>0</v>
      </c>
      <c r="I65" s="1640">
        <v>0</v>
      </c>
      <c r="J65" s="1640">
        <v>0</v>
      </c>
      <c r="K65" s="1640">
        <v>0</v>
      </c>
      <c r="L65" s="1945">
        <v>0</v>
      </c>
      <c r="M65" s="1971">
        <v>0</v>
      </c>
      <c r="N65" s="1971">
        <v>0</v>
      </c>
      <c r="O65" s="1971">
        <v>0</v>
      </c>
      <c r="P65" s="1971">
        <v>3</v>
      </c>
      <c r="Q65" s="353">
        <v>3</v>
      </c>
      <c r="R65" s="353">
        <v>3</v>
      </c>
      <c r="S65" s="590">
        <v>12</v>
      </c>
      <c r="T65" s="1640">
        <v>31</v>
      </c>
      <c r="U65" s="1640">
        <v>0</v>
      </c>
      <c r="V65" s="1640">
        <v>0</v>
      </c>
      <c r="W65" s="1640">
        <v>0</v>
      </c>
      <c r="X65" s="1640">
        <v>0</v>
      </c>
      <c r="Y65" s="1640">
        <v>0</v>
      </c>
      <c r="Z65" s="1640">
        <v>0</v>
      </c>
      <c r="AA65" s="1640">
        <v>0</v>
      </c>
      <c r="AB65" s="1640">
        <v>0</v>
      </c>
      <c r="AC65" s="1640">
        <v>0</v>
      </c>
      <c r="AD65" s="1640">
        <v>24</v>
      </c>
      <c r="AE65" s="1640">
        <v>0</v>
      </c>
      <c r="AF65" s="1640">
        <v>24</v>
      </c>
      <c r="AG65" s="1640">
        <v>24</v>
      </c>
      <c r="AH65" s="1640">
        <v>11</v>
      </c>
      <c r="AI65" s="1640">
        <v>3</v>
      </c>
      <c r="AJ65" s="1640">
        <v>11</v>
      </c>
      <c r="AK65" s="1640">
        <v>0</v>
      </c>
      <c r="AL65" s="1640">
        <v>4</v>
      </c>
      <c r="AM65" s="1640">
        <v>115</v>
      </c>
      <c r="AN65" s="1645">
        <v>10</v>
      </c>
      <c r="AO65" s="1645">
        <v>10</v>
      </c>
      <c r="AP65" s="1645">
        <v>10</v>
      </c>
      <c r="AQ65" s="1645">
        <v>10</v>
      </c>
      <c r="AR65" s="1645">
        <v>10</v>
      </c>
      <c r="AS65" s="1640">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3802E-1A3B-CA6C-1327-0.28BB03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1.00390625" customWidth="1"/>
    <col min="21" max="21" style="1644" width="0.7109375" hidden="1" customWidth="1"/>
    <col min="22" max="22" style="1644" width="1.7109375" hidden="1" customWidth="1"/>
    <col min="23" max="23" style="1644" width="24.7109375" hidden="1" customWidth="1"/>
    <col min="24" max="25" style="1644" width="0.14062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0.140625" customWidth="1"/>
    <col min="31" max="31" style="1644" width="24.00390625" customWidth="1"/>
    <col min="32" max="33" style="1644" width="0.14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45">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41"/>
      <c r="Q3" s="361"/>
      <c r="R3" s="362"/>
      <c r="S3" s="1345">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1345">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362"/>
      <c r="S5" s="1345">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509"/>
      <c r="AP5" s="509" t="str">
        <f>IF(T5="","",T5)</f>
        <v>Источник тепловой энергии  </v>
      </c>
      <c r="AQ5" s="509"/>
      <c r="AR5" s="509"/>
      <c r="AS5" s="1164">
        <v>0</v>
      </c>
    </row>
    <row customHeight="1" ht="47.25" hidden="1">
      <c r="A6" s="1372"/>
      <c r="B6" s="1372"/>
      <c r="C6" s="1372"/>
      <c r="D6" s="1372"/>
      <c r="E6" s="2287"/>
      <c r="F6" s="2287"/>
      <c r="G6" s="2287"/>
      <c r="H6" s="2287"/>
      <c r="I6" s="2284">
        <f>S5&amp;".1"</f>
      </c>
      <c r="J6" s="1372"/>
      <c r="K6" s="1372"/>
      <c r="L6" s="1373" t="s">
        <v>418</v>
      </c>
      <c r="M6" s="546"/>
      <c r="P6" s="2285">
        <v>1</v>
      </c>
      <c r="Q6" s="1340"/>
      <c r="R6" s="365"/>
      <c r="S6" s="1345">
        <f>$I6</f>
      </c>
      <c r="T6" s="294" t="s">
        <v>419</v>
      </c>
      <c r="U6" s="309"/>
      <c r="V6" s="2273"/>
      <c r="W6" s="2274"/>
      <c r="X6" s="2274"/>
      <c r="Y6" s="2274"/>
      <c r="Z6" s="2274"/>
      <c r="AA6" s="2274"/>
      <c r="AB6" s="2274"/>
      <c r="AC6" s="2275"/>
      <c r="AD6" s="2273"/>
      <c r="AE6" s="2274"/>
      <c r="AF6" s="2274"/>
      <c r="AG6" s="2274"/>
      <c r="AH6" s="2274"/>
      <c r="AI6" s="2274"/>
      <c r="AJ6" s="2274"/>
      <c r="AK6" s="2274"/>
      <c r="AL6" s="2275"/>
      <c r="AM6" s="1267" t="s">
        <v>420</v>
      </c>
      <c r="AO6" s="509"/>
      <c r="AP6" s="509" t="str">
        <f>IF(T6="","",T6)</f>
        <v>Схема подключения теплопотребляющей установки к коллектору источника тепловой энергии</v>
      </c>
      <c r="AQ6" s="509"/>
      <c r="AR6" s="509"/>
      <c r="AS6" s="1164">
        <v>0</v>
      </c>
    </row>
    <row customHeight="1" ht="21" hidden="1">
      <c r="A7" s="1372"/>
      <c r="B7" s="1372"/>
      <c r="C7" s="1372"/>
      <c r="D7" s="1372"/>
      <c r="E7" s="2287"/>
      <c r="F7" s="2287"/>
      <c r="G7" s="2287"/>
      <c r="H7" s="2287"/>
      <c r="I7" s="2314"/>
      <c r="J7" s="2284">
        <f>I6&amp;".1"</f>
      </c>
      <c r="K7" s="1372"/>
      <c r="L7" s="1373" t="s">
        <v>421</v>
      </c>
      <c r="M7" s="546"/>
      <c r="N7" s="1375"/>
      <c r="P7" s="2285"/>
      <c r="Q7" s="2285">
        <v>1</v>
      </c>
      <c r="R7" s="366"/>
      <c r="S7" s="1345">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509"/>
      <c r="AP7" s="509" t="str">
        <f>IF(T7="","",T7)</f>
        <v>Группа потребителей</v>
      </c>
      <c r="AQ7" s="509"/>
      <c r="AR7" s="509"/>
      <c r="AS7" s="1164">
        <v>0</v>
      </c>
    </row>
    <row customHeight="1" ht="21" hidden="1">
      <c r="A8" s="1372"/>
      <c r="B8" s="1372"/>
      <c r="C8" s="1372"/>
      <c r="D8" s="1372"/>
      <c r="E8" s="2287"/>
      <c r="F8" s="2287"/>
      <c r="G8" s="2287"/>
      <c r="H8" s="2287"/>
      <c r="I8" s="2314"/>
      <c r="J8" s="2314"/>
      <c r="K8" s="2284">
        <f>J7&amp;".1"</f>
      </c>
      <c r="L8" s="1373" t="s">
        <v>424</v>
      </c>
      <c r="M8" s="546"/>
      <c r="N8" s="1375"/>
      <c r="O8" s="1375"/>
      <c r="P8" s="2285"/>
      <c r="Q8" s="2285"/>
      <c r="R8" s="366">
        <v>1</v>
      </c>
      <c r="S8" s="1345">
        <f>$K8</f>
      </c>
      <c r="T8" s="1356"/>
      <c r="U8" s="309"/>
      <c r="V8" s="334"/>
      <c r="W8" s="760"/>
      <c r="X8" s="334"/>
      <c r="Y8" s="393"/>
      <c r="Z8" s="2293"/>
      <c r="AA8" s="2135" t="s">
        <v>63</v>
      </c>
      <c r="AB8" s="2293"/>
      <c r="AC8" s="2135" t="s">
        <v>63</v>
      </c>
      <c r="AD8" s="334"/>
      <c r="AE8" s="760"/>
      <c r="AF8" s="334"/>
      <c r="AG8" s="393"/>
      <c r="AH8" s="2293"/>
      <c r="AI8" s="2135" t="s">
        <v>63</v>
      </c>
      <c r="AJ8" s="2293"/>
      <c r="AK8" s="2135" t="s">
        <v>63</v>
      </c>
      <c r="AL8" s="334"/>
      <c r="AM8" s="2281" t="s">
        <v>425</v>
      </c>
      <c r="AN8" s="520">
        <f>STRCHECKDATE(V9:AL9)</f>
      </c>
      <c r="AO8" s="509"/>
      <c r="AP8" s="509" t="str">
        <f>IF(T8="","",T8)</f>
        <v/>
      </c>
      <c r="AQ8" s="509"/>
      <c r="AR8" s="509"/>
      <c r="AS8" s="1164">
        <v>0</v>
      </c>
    </row>
    <row customHeight="1" ht="0.75" hidden="1">
      <c r="A9" s="1372"/>
      <c r="B9" s="1372"/>
      <c r="C9" s="1372"/>
      <c r="D9" s="1372"/>
      <c r="E9" s="2287"/>
      <c r="F9" s="2287"/>
      <c r="G9" s="2287"/>
      <c r="H9" s="2287"/>
      <c r="I9" s="2314"/>
      <c r="J9" s="2314"/>
      <c r="K9" s="2284"/>
      <c r="L9" s="1373"/>
      <c r="M9" s="546"/>
      <c r="N9" s="1375"/>
      <c r="O9" s="1375"/>
      <c r="P9" s="2285"/>
      <c r="Q9" s="2285"/>
      <c r="R9" s="366"/>
      <c r="S9" s="1351"/>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5" hidden="1">
      <c r="A10" s="1372"/>
      <c r="B10" s="1372"/>
      <c r="C10" s="1372"/>
      <c r="D10" s="1372"/>
      <c r="E10" s="2287"/>
      <c r="F10" s="2287"/>
      <c r="G10" s="2287"/>
      <c r="H10" s="2287"/>
      <c r="I10" s="2314"/>
      <c r="J10" s="2284"/>
      <c r="K10" s="1372"/>
      <c r="L10" s="1373"/>
      <c r="M10" s="546"/>
      <c r="N10" s="1375"/>
      <c r="P10" s="2285"/>
      <c r="Q10" s="2285"/>
      <c r="R10" s="365"/>
      <c r="S10" s="1287"/>
      <c r="T10" s="297"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87"/>
      <c r="F11" s="2287"/>
      <c r="G11" s="2287"/>
      <c r="H11" s="2287"/>
      <c r="I11" s="2284"/>
      <c r="J11" s="1372"/>
      <c r="K11" s="1372"/>
      <c r="L11" s="1373"/>
      <c r="M11" s="546"/>
      <c r="P11" s="2285"/>
      <c r="Q11" s="1340"/>
      <c r="R11" s="365"/>
      <c r="S11" s="1287"/>
      <c r="T11" s="296"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87"/>
      <c r="F12" s="2287"/>
      <c r="G12" s="2287"/>
      <c r="H12" s="2286"/>
      <c r="I12" s="1372"/>
      <c r="J12" s="1372"/>
      <c r="K12" s="1372"/>
      <c r="L12" s="1373"/>
      <c r="M12" s="1374"/>
      <c r="N12" s="1374"/>
      <c r="O12" s="546"/>
      <c r="P12" s="369"/>
      <c r="Q12" s="384"/>
      <c r="R12" s="364"/>
      <c r="S12" s="1287"/>
      <c r="T12" s="374" t="s">
        <v>428</v>
      </c>
      <c r="U12" s="376"/>
      <c r="V12" s="376"/>
      <c r="W12" s="376"/>
      <c r="X12" s="376"/>
      <c r="Y12" s="376"/>
      <c r="Z12" s="376"/>
      <c r="AA12" s="376"/>
      <c r="AB12" s="376"/>
      <c r="AC12" s="375"/>
      <c r="AD12" s="376"/>
      <c r="AE12" s="376"/>
      <c r="AF12" s="376"/>
      <c r="AG12" s="376"/>
      <c r="AH12" s="376"/>
      <c r="AI12" s="376"/>
      <c r="AJ12" s="376"/>
      <c r="AK12" s="375"/>
      <c r="AL12" s="376"/>
      <c r="AM12" s="312"/>
      <c r="AO12" s="509"/>
      <c r="AP12" s="509" t="str">
        <f>IF(T12="","",T12)</f>
        <v>Добавить схему подключения</v>
      </c>
      <c r="AQ12" s="509"/>
      <c r="AR12" s="509"/>
      <c r="AS12" s="1164">
        <v>0</v>
      </c>
    </row>
    <row s="1651" customFormat="1" customHeight="1" ht="0.7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95"/>
      <c r="AI17" s="2296" t="s">
        <v>63</v>
      </c>
      <c r="AJ17" s="2295"/>
      <c r="AK17" s="2296" t="s">
        <v>63</v>
      </c>
      <c r="AS17" s="1164">
        <v>0</v>
      </c>
    </row>
    <row customHeight="1" ht="14.25" hidden="1">
      <c r="AD18" s="1369"/>
      <c r="AE18" s="1369"/>
      <c r="AF18" s="1369"/>
      <c r="AG18" s="337" t="str">
        <f>AH17&amp;"-"&amp;AJ17</f>
        <v>-</v>
      </c>
      <c r="AH18" s="2296"/>
      <c r="AI18" s="2296"/>
      <c r="AJ18" s="2296"/>
      <c r="AK18" s="2296"/>
      <c r="AS18" s="1164">
        <v>0</v>
      </c>
    </row>
    <row customHeight="1" ht="14.25" hidden="1">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33.7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29.25">
      <c r="Q26" s="385"/>
      <c r="R26" s="385"/>
      <c r="S26" s="227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76"/>
      <c r="U26" s="2276"/>
      <c r="V26" s="2276"/>
      <c r="W26" s="2276"/>
      <c r="X26" s="2276"/>
      <c r="Y26" s="2276"/>
      <c r="Z26" s="2276"/>
      <c r="AA26" s="2276"/>
      <c r="AB26" s="2276"/>
      <c r="AC26" s="2276"/>
      <c r="AD26" s="2276"/>
      <c r="AE26" s="2276"/>
      <c r="AF26" s="2276"/>
      <c r="AG26" s="2276"/>
      <c r="AH26" s="2276"/>
      <c r="AI26" s="2276"/>
      <c r="AJ26" s="2276"/>
      <c r="AK26" s="1252"/>
      <c r="AS26" s="1164">
        <v>28</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18.7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19"/>
      <c r="Y39" s="2319"/>
      <c r="Z39" s="2303"/>
      <c r="AA39" s="2303"/>
      <c r="AB39" s="2304"/>
      <c r="AC39" s="2305" t="s">
        <v>441</v>
      </c>
      <c r="AD39" s="2302" t="s">
        <v>440</v>
      </c>
      <c r="AE39" s="2303"/>
      <c r="AF39" s="2319"/>
      <c r="AG39" s="2319"/>
      <c r="AH39" s="2303"/>
      <c r="AI39" s="2303"/>
      <c r="AJ39" s="2304"/>
      <c r="AK39" s="2305" t="s">
        <v>442</v>
      </c>
      <c r="AL39" s="2308" t="s">
        <v>443</v>
      </c>
      <c r="AM39" s="2155"/>
      <c r="AS39" s="1164">
        <v>14</v>
      </c>
    </row>
    <row customHeight="1" ht="24">
      <c r="Q40" s="385"/>
      <c r="R40" s="385"/>
      <c r="S40" s="2301"/>
      <c r="T40" s="2237"/>
      <c r="U40" s="1040"/>
      <c r="V40" s="2320" t="s">
        <v>444</v>
      </c>
      <c r="W40" s="2322" t="s">
        <v>445</v>
      </c>
      <c r="X40" s="1385" t="s">
        <v>446</v>
      </c>
      <c r="Y40" s="1385"/>
      <c r="Z40" s="2297" t="s">
        <v>447</v>
      </c>
      <c r="AA40" s="2297"/>
      <c r="AB40" s="2291"/>
      <c r="AC40" s="2306"/>
      <c r="AD40" s="2320" t="s">
        <v>444</v>
      </c>
      <c r="AE40" s="2322" t="s">
        <v>445</v>
      </c>
      <c r="AF40" s="1385" t="s">
        <v>446</v>
      </c>
      <c r="AG40" s="1385"/>
      <c r="AH40" s="2297" t="s">
        <v>447</v>
      </c>
      <c r="AI40" s="2297"/>
      <c r="AJ40" s="2291"/>
      <c r="AK40" s="2306"/>
      <c r="AL40" s="2309"/>
      <c r="AM40" s="2155"/>
      <c r="AS40" s="1164">
        <v>23</v>
      </c>
    </row>
    <row s="1275" customFormat="1" customHeight="1" ht="24">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M41" s="1371"/>
      <c r="N41" s="1371"/>
      <c r="O41" s="1371"/>
      <c r="P41" s="1337"/>
      <c r="Q41" s="385"/>
      <c r="R41" s="385"/>
      <c r="S41" s="2301"/>
      <c r="T41" s="2237"/>
      <c r="U41" s="311"/>
      <c r="V41" s="2321"/>
      <c r="W41" s="2323"/>
      <c r="X41" s="1382" t="s">
        <v>455</v>
      </c>
      <c r="Y41" s="1382" t="s">
        <v>456</v>
      </c>
      <c r="Z41" s="1343" t="s">
        <v>457</v>
      </c>
      <c r="AA41" s="2298" t="s">
        <v>458</v>
      </c>
      <c r="AB41" s="2299"/>
      <c r="AC41" s="2307"/>
      <c r="AD41" s="2321"/>
      <c r="AE41" s="2323"/>
      <c r="AF41" s="1382" t="s">
        <v>455</v>
      </c>
      <c r="AG41" s="1382" t="s">
        <v>456</v>
      </c>
      <c r="AH41" s="1343" t="s">
        <v>457</v>
      </c>
      <c r="AI41" s="2298" t="s">
        <v>458</v>
      </c>
      <c r="AJ41" s="2299"/>
      <c r="AK41" s="2307"/>
      <c r="AL41" s="2310"/>
      <c r="AM41" s="2155"/>
      <c r="AN41" s="520"/>
      <c r="AO41" s="509"/>
      <c r="AP41" s="509"/>
      <c r="AQ41" s="509"/>
      <c r="AR41" s="509"/>
      <c r="AS41" s="591">
        <v>23</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344">
        <f>OFFSET(V42,0,-1)+1</f>
        <v>3</v>
      </c>
      <c r="W42" s="1344"/>
      <c r="X42" s="1350">
        <f>OFFSET(X42,0,-1)+1</f>
        <v>1</v>
      </c>
      <c r="Y42" s="1350">
        <f>OFFSET(Y42,0,-1)+1</f>
        <v>2</v>
      </c>
      <c r="Z42" s="1344">
        <f>OFFSET(Z42,0,-1)+1</f>
        <v>3</v>
      </c>
      <c r="AA42" s="2300">
        <f>OFFSET(AA42,0,-1)+1</f>
        <v>4</v>
      </c>
      <c r="AB42" s="2300"/>
      <c r="AC42" s="1344">
        <f>OFFSET(AC42,0,-2)+1</f>
        <v>5</v>
      </c>
      <c r="AD42" s="1344">
        <f>OFFSET(AD42,0,-1)+1</f>
        <v>6</v>
      </c>
      <c r="AE42" s="1344"/>
      <c r="AF42" s="1350">
        <f>OFFSET(AF42,0,-1)+1</f>
        <v>1</v>
      </c>
      <c r="AG42" s="1350">
        <f>OFFSET(AG42,0,-1)+1</f>
        <v>2</v>
      </c>
      <c r="AH42" s="1344">
        <f>OFFSET(AH42,0,-1)+1</f>
        <v>3</v>
      </c>
      <c r="AI42" s="2300">
        <f>OFFSET(AI42,0,-1)+1</f>
        <v>4</v>
      </c>
      <c r="AJ42" s="2300"/>
      <c r="AK42" s="1344">
        <f>OFFSET(AK42,0,-2)+1</f>
        <v>5</v>
      </c>
      <c r="AL42" s="1254">
        <f>OFFSET(AL42,0,-1)</f>
        <v>5</v>
      </c>
      <c r="AM42" s="1344">
        <f>OFFSET(AM42,0,-1)+1</f>
        <v>6</v>
      </c>
      <c r="AN42" s="520"/>
      <c r="AO42" s="520"/>
      <c r="AP42" s="520"/>
      <c r="AQ42" s="520"/>
      <c r="AR42" s="520"/>
      <c r="AS42" s="505">
        <v>0</v>
      </c>
    </row>
    <row customHeight="1" ht="22.049999999999997">
      <c r="A43" s="1372" t="s">
        <v>209</v>
      </c>
      <c r="B43" s="1372"/>
      <c r="C43" s="1372"/>
      <c r="D43" s="1372"/>
      <c r="E43" s="2286">
        <v>1</v>
      </c>
      <c r="F43" s="1372"/>
      <c r="G43" s="1372"/>
      <c r="H43" s="1372"/>
      <c r="I43" s="1372"/>
      <c r="J43" s="1372"/>
      <c r="K43" s="1372"/>
      <c r="L43" s="1373"/>
      <c r="M43" s="1374"/>
      <c r="N43" s="1374"/>
      <c r="O43" s="1374"/>
      <c r="P43" s="370"/>
      <c r="Q43" s="369"/>
      <c r="R43" s="364"/>
      <c r="S43" s="1345">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209</v>
      </c>
      <c r="B44" s="1372" t="s">
        <v>210</v>
      </c>
      <c r="C44" s="1372"/>
      <c r="D44" s="1372"/>
      <c r="E44" s="2287"/>
      <c r="F44" s="2286">
        <v>1</v>
      </c>
      <c r="G44" s="1372"/>
      <c r="H44" s="1372"/>
      <c r="I44" s="1372"/>
      <c r="J44" s="1372"/>
      <c r="K44" s="1372"/>
      <c r="L44" s="1373"/>
      <c r="M44" s="1374"/>
      <c r="N44" s="1374"/>
      <c r="O44" s="1374"/>
      <c r="P44" s="1341"/>
      <c r="Q44" s="361"/>
      <c r="R44" s="362"/>
      <c r="S44" s="1345"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21</v>
      </c>
    </row>
    <row customHeight="1" ht="24">
      <c r="A45" s="1372" t="s">
        <v>209</v>
      </c>
      <c r="B45" s="1372" t="s">
        <v>210</v>
      </c>
      <c r="C45" s="1372" t="s">
        <v>211</v>
      </c>
      <c r="D45" s="1372"/>
      <c r="E45" s="2287"/>
      <c r="F45" s="2287"/>
      <c r="G45" s="2286">
        <v>1</v>
      </c>
      <c r="H45" s="1372"/>
      <c r="I45" s="1372"/>
      <c r="J45" s="1372"/>
      <c r="K45" s="1372"/>
      <c r="L45" s="1373"/>
      <c r="M45" s="1374"/>
      <c r="N45" s="1374"/>
      <c r="O45" s="1374"/>
      <c r="P45" s="363"/>
      <c r="Q45" s="361"/>
      <c r="R45" s="362"/>
      <c r="S45" s="1345"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2.049999999999997">
      <c r="A46" s="1372" t="s">
        <v>209</v>
      </c>
      <c r="B46" s="1372" t="s">
        <v>210</v>
      </c>
      <c r="C46" s="1372" t="s">
        <v>211</v>
      </c>
      <c r="D46" s="1372" t="s">
        <v>212</v>
      </c>
      <c r="E46" s="2287"/>
      <c r="F46" s="2287"/>
      <c r="G46" s="2287"/>
      <c r="H46" s="2286">
        <v>1</v>
      </c>
      <c r="I46" s="1372"/>
      <c r="J46" s="1372"/>
      <c r="K46" s="1372"/>
      <c r="L46" s="1373"/>
      <c r="M46" s="1374"/>
      <c r="N46" s="1374"/>
      <c r="O46" s="1374"/>
      <c r="P46" s="363"/>
      <c r="Q46" s="361"/>
      <c r="R46" s="362"/>
      <c r="S46" s="1345"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21</v>
      </c>
    </row>
    <row customHeight="1" ht="49.5">
      <c r="A47" s="1372" t="s">
        <v>209</v>
      </c>
      <c r="B47" s="1372" t="s">
        <v>210</v>
      </c>
      <c r="C47" s="1372" t="s">
        <v>211</v>
      </c>
      <c r="D47" s="1372" t="s">
        <v>212</v>
      </c>
      <c r="E47" s="2287"/>
      <c r="F47" s="2287"/>
      <c r="G47" s="2287"/>
      <c r="H47" s="2287"/>
      <c r="I47" s="2284" t="str">
        <f>S46&amp;".1"</f>
        <v>....1</v>
      </c>
      <c r="J47" s="1372"/>
      <c r="K47" s="1372"/>
      <c r="L47" s="1373" t="s">
        <v>418</v>
      </c>
      <c r="P47" s="2285">
        <v>1</v>
      </c>
      <c r="Q47" s="1340"/>
      <c r="R47" s="365"/>
      <c r="S47" s="1345" t="str">
        <f>$I47</f>
        <v>....1</v>
      </c>
      <c r="T47" s="294" t="s">
        <v>419</v>
      </c>
      <c r="U47" s="309"/>
      <c r="V47" s="2273"/>
      <c r="W47" s="2274"/>
      <c r="X47" s="2274"/>
      <c r="Y47" s="2274"/>
      <c r="Z47" s="2274"/>
      <c r="AA47" s="2274"/>
      <c r="AB47" s="2274"/>
      <c r="AC47" s="2275"/>
      <c r="AD47" s="2273"/>
      <c r="AE47" s="2274"/>
      <c r="AF47" s="2274"/>
      <c r="AG47" s="2274"/>
      <c r="AH47" s="2274"/>
      <c r="AI47" s="2274"/>
      <c r="AJ47" s="2274"/>
      <c r="AK47" s="2274"/>
      <c r="AL47" s="2275"/>
      <c r="AM47" s="1267" t="s">
        <v>420</v>
      </c>
      <c r="AO47" s="509"/>
      <c r="AP47" s="509" t="str">
        <f>IF(T47="","",T47)</f>
        <v>Схема подключения теплопотребляющей установки к коллектору источника тепловой энергии</v>
      </c>
      <c r="AQ47" s="509"/>
      <c r="AR47" s="509"/>
      <c r="AS47" s="1164">
        <v>47</v>
      </c>
    </row>
    <row customHeight="1" ht="22.049999999999997">
      <c r="A48" s="1372" t="s">
        <v>209</v>
      </c>
      <c r="B48" s="1372" t="s">
        <v>210</v>
      </c>
      <c r="C48" s="1372" t="s">
        <v>211</v>
      </c>
      <c r="D48" s="1372" t="s">
        <v>212</v>
      </c>
      <c r="E48" s="2287"/>
      <c r="F48" s="2287"/>
      <c r="G48" s="2287"/>
      <c r="H48" s="2287"/>
      <c r="I48" s="2314"/>
      <c r="J48" s="2284" t="str">
        <f>I47&amp;".1"</f>
        <v>....1.1</v>
      </c>
      <c r="K48" s="1372"/>
      <c r="L48" s="1373" t="s">
        <v>421</v>
      </c>
      <c r="P48" s="2285"/>
      <c r="Q48" s="2285">
        <v>1</v>
      </c>
      <c r="R48" s="366"/>
      <c r="S48" s="1345" t="str">
        <f>$J48</f>
        <v>....1.1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21</v>
      </c>
    </row>
    <row customHeight="1" ht="22.049999999999997">
      <c r="A49" s="1372" t="s">
        <v>209</v>
      </c>
      <c r="B49" s="1372" t="s">
        <v>210</v>
      </c>
      <c r="C49" s="1372" t="s">
        <v>211</v>
      </c>
      <c r="D49" s="1372" t="s">
        <v>212</v>
      </c>
      <c r="E49" s="2287"/>
      <c r="F49" s="2287"/>
      <c r="G49" s="2287"/>
      <c r="H49" s="2287"/>
      <c r="I49" s="2314"/>
      <c r="J49" s="2314"/>
      <c r="K49" s="2284" t="str">
        <f>J48&amp;".1"</f>
        <v>....1.1.1</v>
      </c>
      <c r="L49" s="1373" t="s">
        <v>424</v>
      </c>
      <c r="P49" s="2285"/>
      <c r="Q49" s="2285"/>
      <c r="R49" s="366">
        <v>1</v>
      </c>
      <c r="S49" s="1345" t="str">
        <f>$K49</f>
        <v>....1.1.1</v>
      </c>
      <c r="T49" s="1356"/>
      <c r="U49" s="309"/>
      <c r="V49" s="334"/>
      <c r="W49" s="760"/>
      <c r="X49" s="334"/>
      <c r="Y49" s="393"/>
      <c r="Z49" s="2293"/>
      <c r="AA49" s="2135" t="s">
        <v>63</v>
      </c>
      <c r="AB49" s="2293"/>
      <c r="AC49" s="2135" t="s">
        <v>63</v>
      </c>
      <c r="AD49" s="334"/>
      <c r="AE49" s="760"/>
      <c r="AF49" s="334"/>
      <c r="AG49" s="393"/>
      <c r="AH49" s="2293"/>
      <c r="AI49" s="2135" t="s">
        <v>63</v>
      </c>
      <c r="AJ49" s="2315"/>
      <c r="AK49" s="2135" t="s">
        <v>63</v>
      </c>
      <c r="AL49" s="1357"/>
      <c r="AM49" s="2281" t="s">
        <v>425</v>
      </c>
      <c r="AN49" s="520">
        <f>STRCHECKDATE(V50:AL50)</f>
      </c>
      <c r="AO49" s="509"/>
      <c r="AP49" s="509" t="str">
        <f>IF(T49="","",T49)</f>
        <v/>
      </c>
      <c r="AQ49" s="509"/>
      <c r="AR49" s="509"/>
      <c r="AS49" s="1164">
        <v>21</v>
      </c>
    </row>
    <row customHeight="1" ht="1.05">
      <c r="A50" s="1372" t="s">
        <v>209</v>
      </c>
      <c r="B50" s="1372" t="s">
        <v>210</v>
      </c>
      <c r="C50" s="1372" t="s">
        <v>211</v>
      </c>
      <c r="D50" s="1372" t="s">
        <v>212</v>
      </c>
      <c r="E50" s="2287"/>
      <c r="F50" s="2287"/>
      <c r="G50" s="2287"/>
      <c r="H50" s="2287"/>
      <c r="I50" s="2314"/>
      <c r="J50" s="2314"/>
      <c r="K50" s="2284"/>
      <c r="L50" s="1373"/>
      <c r="P50" s="2285"/>
      <c r="Q50" s="2285"/>
      <c r="R50" s="366"/>
      <c r="S50" s="1351"/>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1</v>
      </c>
    </row>
    <row customHeight="1" ht="11.549999999999999">
      <c r="A51" s="1372" t="s">
        <v>209</v>
      </c>
      <c r="B51" s="1372" t="s">
        <v>210</v>
      </c>
      <c r="C51" s="1372" t="s">
        <v>211</v>
      </c>
      <c r="D51" s="1372" t="s">
        <v>212</v>
      </c>
      <c r="E51" s="2287"/>
      <c r="F51" s="2287"/>
      <c r="G51" s="2287"/>
      <c r="H51" s="2287"/>
      <c r="I51" s="2314"/>
      <c r="J51" s="2284"/>
      <c r="K51" s="1372"/>
      <c r="L51" s="1373"/>
      <c r="P51" s="2285"/>
      <c r="Q51" s="2285"/>
      <c r="R51" s="365"/>
      <c r="S51" s="1287"/>
      <c r="T51" s="297"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209</v>
      </c>
      <c r="B52" s="1372" t="s">
        <v>210</v>
      </c>
      <c r="C52" s="1372" t="s">
        <v>211</v>
      </c>
      <c r="D52" s="1372" t="s">
        <v>212</v>
      </c>
      <c r="E52" s="2287"/>
      <c r="F52" s="2287"/>
      <c r="G52" s="2287"/>
      <c r="H52" s="2287"/>
      <c r="I52" s="2284"/>
      <c r="J52" s="1372"/>
      <c r="K52" s="1372"/>
      <c r="L52" s="1373"/>
      <c r="P52" s="2285"/>
      <c r="Q52" s="1340"/>
      <c r="R52" s="365"/>
      <c r="S52" s="1287"/>
      <c r="T52" s="296"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14.699999999999998">
      <c r="A53" s="1372" t="s">
        <v>209</v>
      </c>
      <c r="B53" s="1372" t="s">
        <v>210</v>
      </c>
      <c r="C53" s="1372" t="s">
        <v>211</v>
      </c>
      <c r="D53" s="1372" t="s">
        <v>212</v>
      </c>
      <c r="E53" s="2287"/>
      <c r="F53" s="2287"/>
      <c r="G53" s="2287"/>
      <c r="H53" s="2286"/>
      <c r="I53" s="1372"/>
      <c r="J53" s="1372"/>
      <c r="K53" s="1372"/>
      <c r="L53" s="1373"/>
      <c r="M53" s="1374"/>
      <c r="N53" s="1374"/>
      <c r="O53" s="546"/>
      <c r="P53" s="369"/>
      <c r="Q53" s="384"/>
      <c r="R53" s="364"/>
      <c r="S53" s="1287"/>
      <c r="T53" s="374" t="s">
        <v>428</v>
      </c>
      <c r="U53" s="376"/>
      <c r="V53" s="376"/>
      <c r="W53" s="376"/>
      <c r="X53" s="376"/>
      <c r="Y53" s="376"/>
      <c r="Z53" s="376"/>
      <c r="AA53" s="376"/>
      <c r="AB53" s="376"/>
      <c r="AC53" s="375"/>
      <c r="AD53" s="376"/>
      <c r="AE53" s="376"/>
      <c r="AF53" s="376"/>
      <c r="AG53" s="376"/>
      <c r="AH53" s="376"/>
      <c r="AI53" s="376"/>
      <c r="AJ53" s="376"/>
      <c r="AK53" s="375"/>
      <c r="AL53" s="376"/>
      <c r="AM53" s="312"/>
      <c r="AO53" s="509"/>
      <c r="AP53" s="509" t="str">
        <f>IF(T53="","",T53)</f>
        <v>Добавить схему подключения</v>
      </c>
      <c r="AQ53" s="509"/>
      <c r="AR53" s="509"/>
      <c r="AS53" s="1164">
        <v>14</v>
      </c>
    </row>
    <row s="1651" customFormat="1" customHeight="1" ht="1.05">
      <c r="A54" s="1352" t="s">
        <v>209</v>
      </c>
      <c r="B54" s="1352" t="s">
        <v>210</v>
      </c>
      <c r="C54" s="1352" t="s">
        <v>211</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209</v>
      </c>
      <c r="B55" s="1352" t="s">
        <v>210</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209</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8.5">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27</v>
      </c>
    </row>
    <row customHeight="1" ht="78.75">
      <c r="O60" s="546"/>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75</v>
      </c>
    </row>
    <row customHeight="1" ht="14.699999999999998">
      <c r="O61" s="546"/>
      <c r="AS61" s="1164">
        <v>14</v>
      </c>
    </row>
    <row customHeight="1" ht="18.75">
      <c r="O62" s="546"/>
      <c r="S62" s="1262"/>
      <c r="T62" s="2313"/>
      <c r="U62" s="2313"/>
      <c r="V62" s="2313"/>
      <c r="W62" s="2313"/>
      <c r="X62" s="2313"/>
      <c r="Y62" s="2313"/>
      <c r="Z62" s="2313"/>
      <c r="AA62" s="2313"/>
      <c r="AB62" s="2313"/>
      <c r="AC62" s="2313"/>
      <c r="AD62" s="2313"/>
      <c r="AE62" s="2313"/>
      <c r="AF62" s="2313"/>
      <c r="AG62" s="2313"/>
      <c r="AH62" s="2313"/>
      <c r="AI62" s="2313"/>
      <c r="AJ62" s="2313"/>
      <c r="AK62" s="2313"/>
      <c r="AL62" s="2313"/>
      <c r="AM62" s="2313"/>
      <c r="AS62" s="1164">
        <v>18</v>
      </c>
    </row>
    <row customHeight="1" ht="18.75">
      <c r="O63" s="546"/>
      <c r="T63" s="2313"/>
      <c r="U63" s="2313"/>
      <c r="V63" s="2313"/>
      <c r="W63" s="2313"/>
      <c r="X63" s="2313"/>
      <c r="Y63" s="2313"/>
      <c r="Z63" s="2313"/>
      <c r="AA63" s="2313"/>
      <c r="AB63" s="2313"/>
      <c r="AC63" s="2313"/>
      <c r="AD63" s="2313"/>
      <c r="AE63" s="2313"/>
      <c r="AF63" s="2313"/>
      <c r="AG63" s="2313"/>
      <c r="AH63" s="2313"/>
      <c r="AI63" s="2313"/>
      <c r="AJ63" s="2313"/>
      <c r="AK63" s="2313"/>
      <c r="AL63" s="2313"/>
      <c r="AM63" s="2313"/>
      <c r="AS63" s="1164">
        <v>18</v>
      </c>
    </row>
    <row customHeight="1" ht="39.75">
      <c r="O64" s="546"/>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38</v>
      </c>
    </row>
    <row customHeight="1" ht="22.5" hidden="1">
      <c r="A65" s="1169" t="s">
        <v>83</v>
      </c>
      <c r="B65" s="1169">
        <v>0</v>
      </c>
      <c r="C65" s="1169">
        <v>0</v>
      </c>
      <c r="D65" s="1169">
        <v>0</v>
      </c>
      <c r="E65" s="1169">
        <v>0</v>
      </c>
      <c r="F65" s="1169">
        <v>0</v>
      </c>
      <c r="G65" s="1169">
        <v>0</v>
      </c>
      <c r="H65" s="1169">
        <v>0</v>
      </c>
      <c r="I65" s="1169">
        <v>0</v>
      </c>
      <c r="J65" s="1169">
        <v>0</v>
      </c>
      <c r="K65" s="1169">
        <v>0</v>
      </c>
      <c r="L65" s="1338">
        <v>0</v>
      </c>
      <c r="M65" s="1371">
        <v>0</v>
      </c>
      <c r="N65" s="1371">
        <v>0</v>
      </c>
      <c r="O65" s="1371">
        <v>0</v>
      </c>
      <c r="P65" s="1337">
        <v>3</v>
      </c>
      <c r="Q65" s="353">
        <v>3</v>
      </c>
      <c r="R65" s="353">
        <v>3</v>
      </c>
      <c r="S65" s="590">
        <v>12</v>
      </c>
      <c r="T65" s="1164">
        <v>31</v>
      </c>
      <c r="U65" s="1164">
        <v>0</v>
      </c>
      <c r="V65" s="1164">
        <v>0</v>
      </c>
      <c r="W65" s="1164">
        <v>0</v>
      </c>
      <c r="X65" s="1164">
        <v>0</v>
      </c>
      <c r="Y65" s="1164">
        <v>0</v>
      </c>
      <c r="Z65" s="1164">
        <v>0</v>
      </c>
      <c r="AA65" s="1164">
        <v>0</v>
      </c>
      <c r="AB65" s="1164">
        <v>0</v>
      </c>
      <c r="AC65" s="1164">
        <v>0</v>
      </c>
      <c r="AD65" s="1164">
        <v>0</v>
      </c>
      <c r="AE65" s="1164">
        <v>24</v>
      </c>
      <c r="AF65" s="1164">
        <v>0</v>
      </c>
      <c r="AG65" s="1164">
        <v>0</v>
      </c>
      <c r="AH65" s="1164">
        <v>11</v>
      </c>
      <c r="AI65" s="1164">
        <v>3</v>
      </c>
      <c r="AJ65" s="1164">
        <v>11</v>
      </c>
      <c r="AK65" s="1164">
        <v>0</v>
      </c>
      <c r="AL65" s="1164">
        <v>4</v>
      </c>
      <c r="AM65" s="1164">
        <v>115</v>
      </c>
      <c r="AN65" s="520">
        <v>10</v>
      </c>
      <c r="AO65" s="520">
        <v>10</v>
      </c>
      <c r="AP65" s="520">
        <v>10</v>
      </c>
      <c r="AQ65" s="520">
        <v>10</v>
      </c>
      <c r="AR65" s="520">
        <v>10</v>
      </c>
      <c r="AS65" s="1164">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A8A5C6-3132-3AD9-3D6A-0.F2EE703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7109375" hidden="1"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8.421875" hidden="1" customWidth="1"/>
  </cols>
  <sheetData>
    <row customHeight="1" ht="22.5" hidden="1">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45">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41"/>
      <c r="Q3" s="361"/>
      <c r="R3" s="362"/>
      <c r="S3" s="1345">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1345">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362"/>
      <c r="S5" s="1345">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509"/>
      <c r="AP5" s="509" t="str">
        <f>IF(T5="","",T5)</f>
        <v>Источник тепловой энергии  </v>
      </c>
      <c r="AQ5" s="509"/>
      <c r="AR5" s="509"/>
      <c r="AS5" s="1164">
        <v>0</v>
      </c>
    </row>
    <row customHeight="1" ht="14.25" hidden="1">
      <c r="A6" s="1372"/>
      <c r="B6" s="1372"/>
      <c r="C6" s="1372"/>
      <c r="D6" s="1372"/>
      <c r="E6" s="2287"/>
      <c r="F6" s="2287"/>
      <c r="G6" s="2287"/>
      <c r="H6" s="2287"/>
      <c r="I6" s="2284">
        <f>S5&amp;".1"</f>
      </c>
      <c r="J6" s="1372"/>
      <c r="K6" s="1372"/>
      <c r="L6" s="1373" t="s">
        <v>418</v>
      </c>
      <c r="M6" s="546"/>
      <c r="P6" s="2285">
        <v>1</v>
      </c>
      <c r="Q6" s="1340"/>
      <c r="R6" s="365"/>
      <c r="S6" s="1051"/>
      <c r="T6" s="1392"/>
      <c r="U6" s="1393"/>
      <c r="V6" s="2324"/>
      <c r="W6" s="2325"/>
      <c r="X6" s="2325"/>
      <c r="Y6" s="2325"/>
      <c r="Z6" s="2325"/>
      <c r="AA6" s="2325"/>
      <c r="AB6" s="2325"/>
      <c r="AC6" s="2326"/>
      <c r="AD6" s="2324"/>
      <c r="AE6" s="2325"/>
      <c r="AF6" s="2325"/>
      <c r="AG6" s="2325"/>
      <c r="AH6" s="2325"/>
      <c r="AI6" s="2325"/>
      <c r="AJ6" s="2325"/>
      <c r="AK6" s="2325"/>
      <c r="AL6" s="2326"/>
      <c r="AM6" s="1394"/>
      <c r="AO6" s="509"/>
      <c r="AP6" s="509" t="str">
        <f>IF(T6="","",T6)</f>
        <v/>
      </c>
      <c r="AQ6" s="509"/>
      <c r="AR6" s="509"/>
      <c r="AS6" s="1164">
        <v>0</v>
      </c>
    </row>
    <row customHeight="1" ht="21" hidden="1">
      <c r="A7" s="1372"/>
      <c r="B7" s="1372"/>
      <c r="C7" s="1372"/>
      <c r="D7" s="1372"/>
      <c r="E7" s="2287"/>
      <c r="F7" s="2287"/>
      <c r="G7" s="2287"/>
      <c r="H7" s="2287"/>
      <c r="I7" s="2314"/>
      <c r="J7" s="2284">
        <f>I6&amp;".1"</f>
      </c>
      <c r="K7" s="1372"/>
      <c r="L7" s="1373" t="s">
        <v>421</v>
      </c>
      <c r="M7" s="546"/>
      <c r="N7" s="1375"/>
      <c r="P7" s="2285"/>
      <c r="Q7" s="2285">
        <v>1</v>
      </c>
      <c r="R7" s="366"/>
      <c r="S7" s="1345">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509"/>
      <c r="AP7" s="509" t="str">
        <f>IF(T7="","",T7)</f>
        <v>Группа потребителей</v>
      </c>
      <c r="AQ7" s="509"/>
      <c r="AR7" s="509"/>
      <c r="AS7" s="1164">
        <v>0</v>
      </c>
    </row>
    <row customHeight="1" ht="21" hidden="1">
      <c r="A8" s="1372"/>
      <c r="B8" s="1372"/>
      <c r="C8" s="1372"/>
      <c r="D8" s="1372"/>
      <c r="E8" s="2287"/>
      <c r="F8" s="2287"/>
      <c r="G8" s="2287"/>
      <c r="H8" s="2287"/>
      <c r="I8" s="2314"/>
      <c r="J8" s="2314"/>
      <c r="K8" s="2284">
        <f>J7&amp;".1"</f>
      </c>
      <c r="L8" s="1373" t="s">
        <v>424</v>
      </c>
      <c r="M8" s="546"/>
      <c r="N8" s="1375"/>
      <c r="O8" s="1375"/>
      <c r="P8" s="2285"/>
      <c r="Q8" s="2285"/>
      <c r="R8" s="366">
        <v>1</v>
      </c>
      <c r="S8" s="1345">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520">
        <f>STRCHECKDATE(V9:AL9)</f>
      </c>
      <c r="AO8" s="509"/>
      <c r="AP8" s="509" t="str">
        <f>IF(T8="","",T8)</f>
        <v/>
      </c>
      <c r="AQ8" s="509"/>
      <c r="AR8" s="509"/>
      <c r="AS8" s="1164">
        <v>0</v>
      </c>
    </row>
    <row customHeight="1" ht="0.75" hidden="1">
      <c r="A9" s="1372"/>
      <c r="B9" s="1372"/>
      <c r="C9" s="1372"/>
      <c r="D9" s="1372"/>
      <c r="E9" s="2287"/>
      <c r="F9" s="2287"/>
      <c r="G9" s="2287"/>
      <c r="H9" s="2287"/>
      <c r="I9" s="2314"/>
      <c r="J9" s="2314"/>
      <c r="K9" s="2284"/>
      <c r="L9" s="1373"/>
      <c r="M9" s="546"/>
      <c r="N9" s="1375"/>
      <c r="O9" s="1375"/>
      <c r="P9" s="2285"/>
      <c r="Q9" s="2285"/>
      <c r="R9" s="366"/>
      <c r="S9" s="1351"/>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5" hidden="1">
      <c r="A10" s="1372"/>
      <c r="B10" s="1372"/>
      <c r="C10" s="1372"/>
      <c r="D10" s="1372"/>
      <c r="E10" s="2287"/>
      <c r="F10" s="2287"/>
      <c r="G10" s="2287"/>
      <c r="H10" s="2287"/>
      <c r="I10" s="2314"/>
      <c r="J10" s="2284"/>
      <c r="K10" s="1372"/>
      <c r="L10" s="1373"/>
      <c r="M10" s="546"/>
      <c r="N10" s="1375"/>
      <c r="P10" s="2285"/>
      <c r="Q10" s="2285"/>
      <c r="R10" s="365"/>
      <c r="S10" s="1287"/>
      <c r="T10" s="296"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5" hidden="1">
      <c r="A11" s="1372"/>
      <c r="B11" s="1372"/>
      <c r="C11" s="1372"/>
      <c r="D11" s="1372"/>
      <c r="E11" s="2287"/>
      <c r="F11" s="2287"/>
      <c r="G11" s="2287"/>
      <c r="H11" s="2287"/>
      <c r="I11" s="2284"/>
      <c r="J11" s="1372"/>
      <c r="K11" s="1372"/>
      <c r="L11" s="1373"/>
      <c r="M11" s="546"/>
      <c r="P11" s="2285"/>
      <c r="Q11" s="1340"/>
      <c r="R11" s="365"/>
      <c r="S11" s="1287"/>
      <c r="T11" s="374"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87"/>
      <c r="F12" s="2287"/>
      <c r="G12" s="2287"/>
      <c r="H12" s="2286"/>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0.7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95"/>
      <c r="AI17" s="2296" t="s">
        <v>63</v>
      </c>
      <c r="AJ17" s="2295"/>
      <c r="AK17" s="2296" t="s">
        <v>63</v>
      </c>
      <c r="AS17" s="1164">
        <v>0</v>
      </c>
    </row>
    <row customHeight="1" ht="14.25" hidden="1">
      <c r="AD18" s="1369"/>
      <c r="AE18" s="1369"/>
      <c r="AF18" s="1369"/>
      <c r="AG18" s="337" t="str">
        <f>AH17&amp;"-"&amp;AJ17</f>
        <v>-</v>
      </c>
      <c r="AH18" s="2296"/>
      <c r="AI18" s="2296"/>
      <c r="AJ18" s="2296"/>
      <c r="AK18" s="2296"/>
      <c r="AS18" s="1164">
        <v>0</v>
      </c>
    </row>
    <row customHeight="1" ht="14.25" hidden="1">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63">
      <c r="Q26" s="385"/>
      <c r="R26" s="385"/>
      <c r="S26" s="22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6"/>
      <c r="U26" s="2276"/>
      <c r="V26" s="2276"/>
      <c r="W26" s="2276"/>
      <c r="X26" s="2276"/>
      <c r="Y26" s="2276"/>
      <c r="Z26" s="2276"/>
      <c r="AA26" s="2276"/>
      <c r="AB26" s="2276"/>
      <c r="AC26" s="2276"/>
      <c r="AD26" s="2276"/>
      <c r="AE26" s="2276"/>
      <c r="AF26" s="2276"/>
      <c r="AG26" s="2276"/>
      <c r="AH26" s="2276"/>
      <c r="AI26" s="2276"/>
      <c r="AJ26" s="2276"/>
      <c r="AK26" s="1252"/>
      <c r="AS26" s="1164">
        <v>60</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18.7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164">
        <v>14</v>
      </c>
    </row>
    <row customHeight="1" ht="35.699999999999996">
      <c r="Q40" s="385"/>
      <c r="R40" s="385"/>
      <c r="S40" s="2301"/>
      <c r="T40" s="2237"/>
      <c r="U40" s="1040"/>
      <c r="V40" s="2288" t="s">
        <v>461</v>
      </c>
      <c r="W40" s="2311"/>
      <c r="X40" s="2290" t="s">
        <v>446</v>
      </c>
      <c r="Y40" s="2291"/>
      <c r="Z40" s="2290" t="s">
        <v>447</v>
      </c>
      <c r="AA40" s="2297"/>
      <c r="AB40" s="2291"/>
      <c r="AC40" s="2306"/>
      <c r="AD40" s="2288" t="s">
        <v>461</v>
      </c>
      <c r="AE40" s="2311"/>
      <c r="AF40" s="2290" t="s">
        <v>446</v>
      </c>
      <c r="AG40" s="2291"/>
      <c r="AH40" s="2290" t="s">
        <v>447</v>
      </c>
      <c r="AI40" s="2297"/>
      <c r="AJ40" s="2291"/>
      <c r="AK40" s="2306"/>
      <c r="AL40" s="2309"/>
      <c r="AM40" s="2155"/>
      <c r="AS40" s="1164">
        <v>34</v>
      </c>
    </row>
    <row customHeight="1" ht="35.699999999999996">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Q41" s="385"/>
      <c r="R41" s="385"/>
      <c r="S41" s="2301"/>
      <c r="T41" s="2237"/>
      <c r="U41" s="311"/>
      <c r="V41" s="2289"/>
      <c r="W41" s="2312"/>
      <c r="X41" s="1231" t="s">
        <v>455</v>
      </c>
      <c r="Y41" s="1231" t="s">
        <v>456</v>
      </c>
      <c r="Z41" s="1347" t="s">
        <v>457</v>
      </c>
      <c r="AA41" s="2298" t="s">
        <v>458</v>
      </c>
      <c r="AB41" s="2299"/>
      <c r="AC41" s="2307"/>
      <c r="AD41" s="2289"/>
      <c r="AE41" s="2312"/>
      <c r="AF41" s="1231" t="s">
        <v>455</v>
      </c>
      <c r="AG41" s="1231" t="s">
        <v>456</v>
      </c>
      <c r="AH41" s="1347" t="s">
        <v>457</v>
      </c>
      <c r="AI41" s="2298" t="s">
        <v>458</v>
      </c>
      <c r="AJ41" s="2299"/>
      <c r="AK41" s="2307"/>
      <c r="AL41" s="2310"/>
      <c r="AM41" s="2155"/>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344">
        <f>OFFSET(V42,0,-1)+1</f>
        <v>3</v>
      </c>
      <c r="W42" s="1344"/>
      <c r="X42" s="1344">
        <f>OFFSET(X42,0,-1)+1</f>
        <v>1</v>
      </c>
      <c r="Y42" s="1344">
        <f>OFFSET(Y42,0,-1)+1</f>
        <v>2</v>
      </c>
      <c r="Z42" s="1344">
        <f>OFFSET(Z42,0,-1)+1</f>
        <v>3</v>
      </c>
      <c r="AA42" s="2300">
        <f>OFFSET(AA42,0,-1)+1</f>
        <v>4</v>
      </c>
      <c r="AB42" s="2300"/>
      <c r="AC42" s="1344">
        <f>OFFSET(AC42,0,-2)+1</f>
        <v>5</v>
      </c>
      <c r="AD42" s="1344">
        <f>OFFSET(AD42,0,-1)+1</f>
        <v>6</v>
      </c>
      <c r="AE42" s="1344"/>
      <c r="AF42" s="1344">
        <f>OFFSET(AF42,0,-1)+1</f>
        <v>1</v>
      </c>
      <c r="AG42" s="1344">
        <f>OFFSET(AG42,0,-1)+1</f>
        <v>2</v>
      </c>
      <c r="AH42" s="1344">
        <f>OFFSET(AH42,0,-1)+1</f>
        <v>3</v>
      </c>
      <c r="AI42" s="2300">
        <f>OFFSET(AI42,0,-1)+1</f>
        <v>4</v>
      </c>
      <c r="AJ42" s="2300"/>
      <c r="AK42" s="1344">
        <f>OFFSET(AK42,0,-2)+1</f>
        <v>5</v>
      </c>
      <c r="AL42" s="1254">
        <f>OFFSET(AL42,0,-1)</f>
        <v>5</v>
      </c>
      <c r="AM42" s="1344">
        <f>OFFSET(AM42,0,-1)+1</f>
        <v>6</v>
      </c>
      <c r="AN42" s="520"/>
      <c r="AO42" s="520"/>
      <c r="AP42" s="520"/>
      <c r="AQ42" s="520"/>
      <c r="AR42" s="520"/>
      <c r="AS42" s="505">
        <v>0</v>
      </c>
    </row>
    <row customHeight="1" ht="22.049999999999997">
      <c r="A43" s="1372" t="s">
        <v>185</v>
      </c>
      <c r="B43" s="1372"/>
      <c r="C43" s="1372"/>
      <c r="D43" s="1372"/>
      <c r="E43" s="2286">
        <v>1</v>
      </c>
      <c r="F43" s="1372"/>
      <c r="G43" s="1372"/>
      <c r="H43" s="1372"/>
      <c r="I43" s="1372"/>
      <c r="J43" s="1372"/>
      <c r="K43" s="1372"/>
      <c r="L43" s="1373"/>
      <c r="M43" s="1374"/>
      <c r="N43" s="1374"/>
      <c r="O43" s="1374"/>
      <c r="P43" s="370"/>
      <c r="Q43" s="369"/>
      <c r="R43" s="364"/>
      <c r="S43" s="1345">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185</v>
      </c>
      <c r="B44" s="1372" t="s">
        <v>186</v>
      </c>
      <c r="C44" s="1372"/>
      <c r="D44" s="1372"/>
      <c r="E44" s="2287"/>
      <c r="F44" s="2286">
        <v>1</v>
      </c>
      <c r="G44" s="1372"/>
      <c r="H44" s="1372"/>
      <c r="I44" s="1372"/>
      <c r="J44" s="1372"/>
      <c r="K44" s="1372"/>
      <c r="L44" s="1373"/>
      <c r="M44" s="1374"/>
      <c r="N44" s="1374"/>
      <c r="O44" s="1374"/>
      <c r="P44" s="1341"/>
      <c r="Q44" s="361"/>
      <c r="R44" s="362"/>
      <c r="S44" s="1345"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21</v>
      </c>
    </row>
    <row customHeight="1" ht="24">
      <c r="A45" s="1372" t="s">
        <v>185</v>
      </c>
      <c r="B45" s="1372" t="s">
        <v>186</v>
      </c>
      <c r="C45" s="1372" t="s">
        <v>187</v>
      </c>
      <c r="D45" s="1372"/>
      <c r="E45" s="2287"/>
      <c r="F45" s="2287"/>
      <c r="G45" s="2286">
        <v>1</v>
      </c>
      <c r="H45" s="1372"/>
      <c r="I45" s="1372"/>
      <c r="J45" s="1372"/>
      <c r="K45" s="1372"/>
      <c r="L45" s="1373"/>
      <c r="M45" s="1374"/>
      <c r="N45" s="1374"/>
      <c r="O45" s="1374"/>
      <c r="P45" s="363"/>
      <c r="Q45" s="361"/>
      <c r="R45" s="362"/>
      <c r="S45" s="1345"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2.049999999999997">
      <c r="A46" s="1372" t="s">
        <v>185</v>
      </c>
      <c r="B46" s="1372" t="s">
        <v>186</v>
      </c>
      <c r="C46" s="1372" t="s">
        <v>187</v>
      </c>
      <c r="D46" s="1372" t="s">
        <v>188</v>
      </c>
      <c r="E46" s="2287"/>
      <c r="F46" s="2287"/>
      <c r="G46" s="2287"/>
      <c r="H46" s="2286">
        <v>1</v>
      </c>
      <c r="I46" s="1372"/>
      <c r="J46" s="1372"/>
      <c r="K46" s="1372"/>
      <c r="L46" s="1373"/>
      <c r="M46" s="1374"/>
      <c r="N46" s="1374"/>
      <c r="O46" s="1374"/>
      <c r="P46" s="363"/>
      <c r="Q46" s="361"/>
      <c r="R46" s="362"/>
      <c r="S46" s="1345"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21</v>
      </c>
    </row>
    <row s="1651" customFormat="1" customHeight="1" ht="0">
      <c r="A47" s="1352" t="s">
        <v>185</v>
      </c>
      <c r="B47" s="1352" t="s">
        <v>186</v>
      </c>
      <c r="C47" s="1352" t="s">
        <v>187</v>
      </c>
      <c r="D47" s="1352" t="s">
        <v>188</v>
      </c>
      <c r="E47" s="2287"/>
      <c r="F47" s="2287"/>
      <c r="G47" s="2287"/>
      <c r="H47" s="2287"/>
      <c r="I47" s="2284" t="str">
        <f>S46&amp;".1"</f>
        <v>....1</v>
      </c>
      <c r="J47" s="1352"/>
      <c r="K47" s="1352"/>
      <c r="L47" s="1355" t="s">
        <v>418</v>
      </c>
      <c r="M47" s="519"/>
      <c r="N47" s="519"/>
      <c r="O47" s="519"/>
      <c r="P47" s="2285">
        <v>1</v>
      </c>
      <c r="Q47" s="1340"/>
      <c r="R47" s="365"/>
      <c r="S47" s="1051"/>
      <c r="T47" s="1392"/>
      <c r="U47" s="1393"/>
      <c r="V47" s="2324"/>
      <c r="W47" s="2325"/>
      <c r="X47" s="2325"/>
      <c r="Y47" s="2325"/>
      <c r="Z47" s="2325"/>
      <c r="AA47" s="2325"/>
      <c r="AB47" s="2325"/>
      <c r="AC47" s="2326"/>
      <c r="AD47" s="2324"/>
      <c r="AE47" s="2325"/>
      <c r="AF47" s="2325"/>
      <c r="AG47" s="2325"/>
      <c r="AH47" s="2325"/>
      <c r="AI47" s="2325"/>
      <c r="AJ47" s="2325"/>
      <c r="AK47" s="2325"/>
      <c r="AL47" s="2326"/>
      <c r="AM47" s="1394"/>
      <c r="AO47" s="509"/>
      <c r="AP47" s="509" t="str">
        <f>IF(T47="","",T47)</f>
        <v/>
      </c>
      <c r="AQ47" s="509"/>
      <c r="AR47" s="509"/>
      <c r="AS47" s="520">
        <v>0</v>
      </c>
    </row>
    <row customHeight="1" ht="22.049999999999997">
      <c r="A48" s="1372" t="s">
        <v>185</v>
      </c>
      <c r="B48" s="1372" t="s">
        <v>186</v>
      </c>
      <c r="C48" s="1372" t="s">
        <v>187</v>
      </c>
      <c r="D48" s="1372" t="s">
        <v>188</v>
      </c>
      <c r="E48" s="2287"/>
      <c r="F48" s="2287"/>
      <c r="G48" s="2287"/>
      <c r="H48" s="2287"/>
      <c r="I48" s="2314"/>
      <c r="J48" s="2284" t="str">
        <f>S46&amp;".1"</f>
        <v>....1</v>
      </c>
      <c r="K48" s="1372"/>
      <c r="L48" s="1373" t="s">
        <v>421</v>
      </c>
      <c r="P48" s="2285"/>
      <c r="Q48" s="2285">
        <v>1</v>
      </c>
      <c r="R48" s="366"/>
      <c r="S48" s="1345" t="str">
        <f>$J48</f>
        <v>....1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21</v>
      </c>
    </row>
    <row customHeight="1" ht="22.049999999999997">
      <c r="A49" s="1372" t="s">
        <v>185</v>
      </c>
      <c r="B49" s="1372" t="s">
        <v>186</v>
      </c>
      <c r="C49" s="1372" t="s">
        <v>187</v>
      </c>
      <c r="D49" s="1372" t="s">
        <v>188</v>
      </c>
      <c r="E49" s="2287"/>
      <c r="F49" s="2287"/>
      <c r="G49" s="2287"/>
      <c r="H49" s="2287"/>
      <c r="I49" s="2314"/>
      <c r="J49" s="2314"/>
      <c r="K49" s="2284" t="str">
        <f>J48&amp;".1"</f>
        <v>....1.1</v>
      </c>
      <c r="L49" s="1373" t="s">
        <v>424</v>
      </c>
      <c r="P49" s="2285"/>
      <c r="Q49" s="2285"/>
      <c r="R49" s="366">
        <v>1</v>
      </c>
      <c r="S49" s="1345" t="str">
        <f>$K49</f>
        <v>....1.1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462</v>
      </c>
      <c r="AN49" s="520">
        <f>STRCHECKDATE(V50:AL50)</f>
      </c>
      <c r="AO49" s="509"/>
      <c r="AP49" s="509" t="str">
        <f>IF(T49="","",T49)</f>
        <v/>
      </c>
      <c r="AQ49" s="509"/>
      <c r="AR49" s="509"/>
      <c r="AS49" s="1164">
        <v>21</v>
      </c>
    </row>
    <row customHeight="1" ht="1.05">
      <c r="A50" s="1372" t="s">
        <v>185</v>
      </c>
      <c r="B50" s="1372" t="s">
        <v>186</v>
      </c>
      <c r="C50" s="1372" t="s">
        <v>187</v>
      </c>
      <c r="D50" s="1372" t="s">
        <v>188</v>
      </c>
      <c r="E50" s="2287"/>
      <c r="F50" s="2287"/>
      <c r="G50" s="2287"/>
      <c r="H50" s="2287"/>
      <c r="I50" s="2314"/>
      <c r="J50" s="2314"/>
      <c r="K50" s="2284"/>
      <c r="L50" s="1373"/>
      <c r="P50" s="2285"/>
      <c r="Q50" s="2285"/>
      <c r="R50" s="366"/>
      <c r="S50" s="1351"/>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1</v>
      </c>
    </row>
    <row customHeight="1" ht="11.549999999999999">
      <c r="A51" s="1372" t="s">
        <v>185</v>
      </c>
      <c r="B51" s="1372" t="s">
        <v>186</v>
      </c>
      <c r="C51" s="1372" t="s">
        <v>187</v>
      </c>
      <c r="D51" s="1372" t="s">
        <v>188</v>
      </c>
      <c r="E51" s="2287"/>
      <c r="F51" s="2287"/>
      <c r="G51" s="2287"/>
      <c r="H51" s="2287"/>
      <c r="I51" s="2314"/>
      <c r="J51" s="2284"/>
      <c r="K51" s="1372"/>
      <c r="L51" s="1373"/>
      <c r="P51" s="2285"/>
      <c r="Q51" s="2285"/>
      <c r="R51" s="365"/>
      <c r="S51" s="1287"/>
      <c r="T51" s="296"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185</v>
      </c>
      <c r="B52" s="1372" t="s">
        <v>186</v>
      </c>
      <c r="C52" s="1372" t="s">
        <v>187</v>
      </c>
      <c r="D52" s="1372" t="s">
        <v>188</v>
      </c>
      <c r="E52" s="2287"/>
      <c r="F52" s="2287"/>
      <c r="G52" s="2287"/>
      <c r="H52" s="2287"/>
      <c r="I52" s="2284"/>
      <c r="J52" s="1372"/>
      <c r="K52" s="1372"/>
      <c r="L52" s="1373"/>
      <c r="P52" s="2285"/>
      <c r="Q52" s="1340"/>
      <c r="R52" s="365"/>
      <c r="S52" s="1287"/>
      <c r="T52" s="374"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185</v>
      </c>
      <c r="B53" s="1372" t="s">
        <v>186</v>
      </c>
      <c r="C53" s="1372" t="s">
        <v>187</v>
      </c>
      <c r="D53" s="1372" t="s">
        <v>188</v>
      </c>
      <c r="E53" s="2287"/>
      <c r="F53" s="2287"/>
      <c r="G53" s="2287"/>
      <c r="H53" s="2286"/>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1.05">
      <c r="A54" s="1352" t="s">
        <v>185</v>
      </c>
      <c r="B54" s="1352" t="s">
        <v>186</v>
      </c>
      <c r="C54" s="1352" t="s">
        <v>187</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185</v>
      </c>
      <c r="B55" s="1352" t="s">
        <v>186</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185</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19.95">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19</v>
      </c>
    </row>
    <row customHeight="1" ht="29.25">
      <c r="O60" s="546"/>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28</v>
      </c>
    </row>
    <row customHeight="1" ht="42">
      <c r="O61" s="546"/>
      <c r="T61" s="2313"/>
      <c r="U61" s="2313"/>
      <c r="V61" s="2313"/>
      <c r="W61" s="2313"/>
      <c r="X61" s="2313"/>
      <c r="Y61" s="2313"/>
      <c r="Z61" s="2313"/>
      <c r="AA61" s="2313"/>
      <c r="AB61" s="2313"/>
      <c r="AC61" s="2313"/>
      <c r="AD61" s="2313"/>
      <c r="AE61" s="2313"/>
      <c r="AF61" s="2313"/>
      <c r="AG61" s="2313"/>
      <c r="AH61" s="2313"/>
      <c r="AI61" s="2313"/>
      <c r="AJ61" s="2313"/>
      <c r="AK61" s="2313"/>
      <c r="AL61" s="2313"/>
      <c r="AM61" s="2313"/>
      <c r="AS61" s="1164">
        <v>40</v>
      </c>
    </row>
    <row customHeight="1" ht="14.699999999999998">
      <c r="O62" s="546"/>
      <c r="AS62" s="1164">
        <v>14</v>
      </c>
    </row>
    <row customHeight="1" ht="21">
      <c r="O63" s="546"/>
      <c r="S63" s="1262"/>
      <c r="T63" s="2327"/>
      <c r="U63" s="2313"/>
      <c r="V63" s="2313"/>
      <c r="W63" s="2313"/>
      <c r="X63" s="2313"/>
      <c r="Y63" s="2313"/>
      <c r="Z63" s="2313"/>
      <c r="AA63" s="2313"/>
      <c r="AB63" s="2313"/>
      <c r="AC63" s="2313"/>
      <c r="AD63" s="2313"/>
      <c r="AE63" s="2313"/>
      <c r="AF63" s="2313"/>
      <c r="AG63" s="2313"/>
      <c r="AH63" s="2313"/>
      <c r="AI63" s="2313"/>
      <c r="AJ63" s="2313"/>
      <c r="AK63" s="2313"/>
      <c r="AL63" s="2313"/>
      <c r="AM63" s="2313"/>
      <c r="AS63" s="1164">
        <v>20</v>
      </c>
    </row>
    <row customHeight="1" ht="29.25">
      <c r="O64" s="546"/>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28</v>
      </c>
    </row>
    <row customHeight="1" ht="35.699999999999996">
      <c r="T65" s="2313"/>
      <c r="U65" s="2313"/>
      <c r="V65" s="2313"/>
      <c r="W65" s="2313"/>
      <c r="X65" s="2313"/>
      <c r="Y65" s="2313"/>
      <c r="Z65" s="2313"/>
      <c r="AA65" s="2313"/>
      <c r="AB65" s="2313"/>
      <c r="AC65" s="2313"/>
      <c r="AD65" s="2313"/>
      <c r="AE65" s="2313"/>
      <c r="AF65" s="2313"/>
      <c r="AG65" s="2313"/>
      <c r="AH65" s="2313"/>
      <c r="AI65" s="2313"/>
      <c r="AJ65" s="2313"/>
      <c r="AK65" s="2313"/>
      <c r="AL65" s="2313"/>
      <c r="AM65" s="2313"/>
      <c r="AS65" s="1164">
        <v>34</v>
      </c>
    </row>
    <row customHeight="1" ht="22.5" hidden="1">
      <c r="A66" s="1169" t="s">
        <v>83</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47AFF8-1D61-F5C5-15DC-0.034865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7109375" hidden="1"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A1" s="1877"/>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45">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41"/>
      <c r="Q3" s="361"/>
      <c r="R3" s="362"/>
      <c r="S3" s="1345">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2014">
        <f>INDEX(PT_DIFFERENTIATION_NUM_CS,MATCH(C4,PT_DIFFERENTIATION_CS_ID,0))</f>
      </c>
      <c r="T4" s="2018" t="s">
        <v>414</v>
      </c>
      <c r="U4" s="2019"/>
      <c r="V4" s="2328"/>
      <c r="W4" s="2329"/>
      <c r="X4" s="2329"/>
      <c r="Y4" s="2329"/>
      <c r="Z4" s="2329"/>
      <c r="AA4" s="2329"/>
      <c r="AB4" s="2329"/>
      <c r="AC4" s="2330"/>
      <c r="AD4" s="2328">
        <f>INDEX(PT_DIFFERENTIATION_CS,MATCH(C4,PT_DIFFERENTIATION_CS_ID,0))</f>
      </c>
      <c r="AE4" s="2329"/>
      <c r="AF4" s="2329"/>
      <c r="AG4" s="2329"/>
      <c r="AH4" s="2329"/>
      <c r="AI4" s="2329"/>
      <c r="AJ4" s="2329"/>
      <c r="AK4" s="2329"/>
      <c r="AL4" s="2330"/>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1644"/>
      <c r="S5" s="2013">
        <f>INDEX(PT_DIFFERENTIATION_NUM_IST_TE,MATCH(D5,PT_DIFFERENTIATION_IST_TE_ID,0))</f>
      </c>
      <c r="T5" s="319" t="s">
        <v>416</v>
      </c>
      <c r="U5" s="309"/>
      <c r="V5" s="2331"/>
      <c r="W5" s="2331"/>
      <c r="X5" s="2331"/>
      <c r="Y5" s="2331"/>
      <c r="Z5" s="2331"/>
      <c r="AA5" s="2331"/>
      <c r="AB5" s="2331"/>
      <c r="AC5" s="2331"/>
      <c r="AD5" s="2331">
        <f>INDEX(PT_DIFFERENTIATION_IST_TE,MATCH(D5,PT_DIFFERENTIATION_IST_TE_ID,0))</f>
      </c>
      <c r="AE5" s="2331"/>
      <c r="AF5" s="2331"/>
      <c r="AG5" s="2331"/>
      <c r="AH5" s="2331"/>
      <c r="AI5" s="2331"/>
      <c r="AJ5" s="2331"/>
      <c r="AK5" s="2331"/>
      <c r="AL5" s="2331"/>
      <c r="AM5" s="2016" t="s">
        <v>417</v>
      </c>
      <c r="AO5" s="509"/>
      <c r="AP5" s="509" t="str">
        <f>IF(T5="","",T5)</f>
        <v>Источник тепловой энергии  </v>
      </c>
      <c r="AQ5" s="509"/>
      <c r="AR5" s="509"/>
      <c r="AS5" s="1164">
        <v>0</v>
      </c>
    </row>
    <row customHeight="1" ht="0.75" hidden="1">
      <c r="A6" s="1372"/>
      <c r="B6" s="1372"/>
      <c r="C6" s="1372"/>
      <c r="D6" s="1372"/>
      <c r="E6" s="2287"/>
      <c r="F6" s="2287"/>
      <c r="G6" s="2287"/>
      <c r="H6" s="2287"/>
      <c r="I6" s="2284">
        <f>S5&amp;".1"</f>
      </c>
      <c r="J6" s="1372"/>
      <c r="K6" s="1372"/>
      <c r="L6" s="1373" t="s">
        <v>418</v>
      </c>
      <c r="M6" s="546"/>
      <c r="P6" s="2285">
        <v>1</v>
      </c>
      <c r="Q6" s="1340"/>
      <c r="R6" s="2012"/>
      <c r="S6" s="1051"/>
      <c r="T6" s="1392"/>
      <c r="U6" s="1393"/>
      <c r="V6" s="2332"/>
      <c r="W6" s="2332"/>
      <c r="X6" s="2332"/>
      <c r="Y6" s="2332"/>
      <c r="Z6" s="2332"/>
      <c r="AA6" s="2332"/>
      <c r="AB6" s="2332"/>
      <c r="AC6" s="2332"/>
      <c r="AD6" s="2332"/>
      <c r="AE6" s="2332"/>
      <c r="AF6" s="2332"/>
      <c r="AG6" s="2332"/>
      <c r="AH6" s="2332"/>
      <c r="AI6" s="2332"/>
      <c r="AJ6" s="2332"/>
      <c r="AK6" s="2332"/>
      <c r="AL6" s="2332"/>
      <c r="AM6" s="2017"/>
      <c r="AO6" s="509"/>
      <c r="AP6" s="509" t="str">
        <f>IF(T6="","",T6)</f>
        <v/>
      </c>
      <c r="AQ6" s="509"/>
      <c r="AR6" s="509"/>
      <c r="AS6" s="1164">
        <v>0</v>
      </c>
    </row>
    <row customHeight="1" ht="84" hidden="1">
      <c r="A7" s="1372"/>
      <c r="B7" s="1372"/>
      <c r="C7" s="1372"/>
      <c r="D7" s="1372"/>
      <c r="E7" s="2287"/>
      <c r="F7" s="2287"/>
      <c r="G7" s="2287"/>
      <c r="H7" s="2287"/>
      <c r="I7" s="2314"/>
      <c r="J7" s="2284">
        <f>I6&amp;".1"</f>
      </c>
      <c r="K7" s="1372"/>
      <c r="L7" s="1373" t="s">
        <v>421</v>
      </c>
      <c r="M7" s="546"/>
      <c r="N7" s="1375"/>
      <c r="P7" s="2285"/>
      <c r="Q7" s="2285">
        <v>1</v>
      </c>
      <c r="R7" s="1651"/>
      <c r="S7" s="2013">
        <f>$J7</f>
      </c>
      <c r="T7" s="295" t="s">
        <v>422</v>
      </c>
      <c r="U7" s="309"/>
      <c r="V7" s="2333"/>
      <c r="W7" s="2333"/>
      <c r="X7" s="2333"/>
      <c r="Y7" s="2333"/>
      <c r="Z7" s="2333"/>
      <c r="AA7" s="2333"/>
      <c r="AB7" s="2333"/>
      <c r="AC7" s="2333"/>
      <c r="AD7" s="2333"/>
      <c r="AE7" s="2333"/>
      <c r="AF7" s="2333"/>
      <c r="AG7" s="2333"/>
      <c r="AH7" s="2333"/>
      <c r="AI7" s="2333"/>
      <c r="AJ7" s="2333"/>
      <c r="AK7" s="2333"/>
      <c r="AL7" s="2333"/>
      <c r="AM7" s="2016" t="s">
        <v>423</v>
      </c>
      <c r="AO7" s="509"/>
      <c r="AP7" s="509" t="str">
        <f>IF(T7="","",T7)</f>
        <v>Группа потребителей</v>
      </c>
      <c r="AQ7" s="509"/>
      <c r="AR7" s="509"/>
      <c r="AS7" s="1164">
        <v>0</v>
      </c>
    </row>
    <row customHeight="1" ht="11.25" hidden="1">
      <c r="A8" s="1372"/>
      <c r="B8" s="1372"/>
      <c r="C8" s="1372"/>
      <c r="D8" s="1372"/>
      <c r="E8" s="2287"/>
      <c r="F8" s="2287"/>
      <c r="G8" s="2287"/>
      <c r="H8" s="2287"/>
      <c r="I8" s="2314"/>
      <c r="J8" s="2314"/>
      <c r="K8" s="2284">
        <f>J7&amp;".1"</f>
      </c>
      <c r="L8" s="1373" t="s">
        <v>424</v>
      </c>
      <c r="M8" s="546"/>
      <c r="N8" s="1375"/>
      <c r="O8" s="1375"/>
      <c r="P8" s="2285"/>
      <c r="Q8" s="2285"/>
      <c r="R8" s="366">
        <v>1</v>
      </c>
      <c r="S8" s="2015">
        <f>$K8</f>
      </c>
      <c r="T8" s="2020"/>
      <c r="U8" s="2021"/>
      <c r="V8" s="2022"/>
      <c r="W8" s="1358"/>
      <c r="X8" s="2022"/>
      <c r="Y8" s="2023"/>
      <c r="Z8" s="2334"/>
      <c r="AA8" s="2140" t="s">
        <v>63</v>
      </c>
      <c r="AB8" s="2334"/>
      <c r="AC8" s="2140" t="s">
        <v>63</v>
      </c>
      <c r="AD8" s="2022"/>
      <c r="AE8" s="1358"/>
      <c r="AF8" s="2022"/>
      <c r="AG8" s="2023"/>
      <c r="AH8" s="2334"/>
      <c r="AI8" s="2140" t="s">
        <v>63</v>
      </c>
      <c r="AJ8" s="2334"/>
      <c r="AK8" s="2140" t="s">
        <v>63</v>
      </c>
      <c r="AL8" s="1358"/>
      <c r="AM8" s="2281" t="s">
        <v>425</v>
      </c>
      <c r="AN8" s="520">
        <f>STRCHECKDATE(V9:AL9)</f>
      </c>
      <c r="AO8" s="509"/>
      <c r="AP8" s="509" t="str">
        <f>IF(T8="","",T8)</f>
        <v/>
      </c>
      <c r="AQ8" s="509"/>
      <c r="AR8" s="509"/>
      <c r="AS8" s="1164">
        <v>0</v>
      </c>
    </row>
    <row customHeight="1" ht="0.75" hidden="1">
      <c r="A9" s="1372"/>
      <c r="B9" s="1372"/>
      <c r="C9" s="1372"/>
      <c r="D9" s="1372"/>
      <c r="E9" s="2287"/>
      <c r="F9" s="2287"/>
      <c r="G9" s="2287"/>
      <c r="H9" s="2287"/>
      <c r="I9" s="2314"/>
      <c r="J9" s="2314"/>
      <c r="K9" s="2284"/>
      <c r="L9" s="1373"/>
      <c r="M9" s="546"/>
      <c r="N9" s="1375"/>
      <c r="O9" s="1375"/>
      <c r="P9" s="2285"/>
      <c r="Q9" s="2285"/>
      <c r="R9" s="366"/>
      <c r="S9" s="1351"/>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1.25" hidden="1">
      <c r="A10" s="1372"/>
      <c r="B10" s="1372"/>
      <c r="C10" s="1372"/>
      <c r="D10" s="1372"/>
      <c r="E10" s="2287"/>
      <c r="F10" s="2287"/>
      <c r="G10" s="2287"/>
      <c r="H10" s="2287"/>
      <c r="I10" s="2314"/>
      <c r="J10" s="2284"/>
      <c r="K10" s="1372"/>
      <c r="L10" s="1373"/>
      <c r="M10" s="546"/>
      <c r="N10" s="1375"/>
      <c r="P10" s="2285"/>
      <c r="Q10" s="2285"/>
      <c r="R10" s="365"/>
      <c r="S10" s="1287"/>
      <c r="T10" s="296"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1.25" hidden="1">
      <c r="A11" s="1372"/>
      <c r="B11" s="1372"/>
      <c r="C11" s="1372"/>
      <c r="D11" s="1372"/>
      <c r="E11" s="2287"/>
      <c r="F11" s="2287"/>
      <c r="G11" s="2287"/>
      <c r="H11" s="2287"/>
      <c r="I11" s="2284"/>
      <c r="J11" s="1372"/>
      <c r="K11" s="1372"/>
      <c r="L11" s="1373"/>
      <c r="M11" s="546"/>
      <c r="P11" s="2285"/>
      <c r="Q11" s="1340"/>
      <c r="R11" s="365"/>
      <c r="S11" s="1287"/>
      <c r="T11" s="374"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0.75" hidden="1">
      <c r="A12" s="1372"/>
      <c r="B12" s="1372"/>
      <c r="C12" s="1372"/>
      <c r="D12" s="1372"/>
      <c r="E12" s="2287"/>
      <c r="F12" s="2287"/>
      <c r="G12" s="2287"/>
      <c r="H12" s="2286"/>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0.7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0.7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0.7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95"/>
      <c r="AI17" s="2296" t="s">
        <v>63</v>
      </c>
      <c r="AJ17" s="2295"/>
      <c r="AK17" s="2296" t="s">
        <v>63</v>
      </c>
      <c r="AS17" s="1164">
        <v>0</v>
      </c>
    </row>
    <row customHeight="1" ht="14.25" hidden="1">
      <c r="AD18" s="1369"/>
      <c r="AE18" s="1369"/>
      <c r="AF18" s="1369"/>
      <c r="AG18" s="337" t="str">
        <f>AH17&amp;"-"&amp;AJ17</f>
        <v>-</v>
      </c>
      <c r="AH18" s="2296"/>
      <c r="AI18" s="2296"/>
      <c r="AJ18" s="2296"/>
      <c r="AK18" s="2296"/>
      <c r="AS18" s="1164">
        <v>0</v>
      </c>
    </row>
    <row customHeight="1" ht="14.25" hidden="1">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54.75">
      <c r="Q26" s="385"/>
      <c r="R26" s="385"/>
      <c r="S26" s="233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35"/>
      <c r="U26" s="2335"/>
      <c r="V26" s="2335"/>
      <c r="W26" s="2335"/>
      <c r="X26" s="2335"/>
      <c r="Y26" s="2335"/>
      <c r="Z26" s="2335"/>
      <c r="AA26" s="2335"/>
      <c r="AB26" s="2335"/>
      <c r="AC26" s="2335"/>
      <c r="AD26" s="2335"/>
      <c r="AE26" s="2335"/>
      <c r="AF26" s="2335"/>
      <c r="AG26" s="2335"/>
      <c r="AH26" s="2335"/>
      <c r="AI26" s="2335"/>
      <c r="AJ26" s="2335"/>
      <c r="AK26" s="1252"/>
      <c r="AS26" s="1164">
        <v>52</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18.7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164">
        <v>14</v>
      </c>
    </row>
    <row customHeight="1" ht="35.699999999999996">
      <c r="Q40" s="385"/>
      <c r="R40" s="385"/>
      <c r="S40" s="2301"/>
      <c r="T40" s="2237"/>
      <c r="U40" s="1040"/>
      <c r="V40" s="2288" t="s">
        <v>444</v>
      </c>
      <c r="W40" s="2311"/>
      <c r="X40" s="2290" t="s">
        <v>446</v>
      </c>
      <c r="Y40" s="2291"/>
      <c r="Z40" s="2290" t="s">
        <v>447</v>
      </c>
      <c r="AA40" s="2297"/>
      <c r="AB40" s="2291"/>
      <c r="AC40" s="2306"/>
      <c r="AD40" s="2288" t="s">
        <v>444</v>
      </c>
      <c r="AE40" s="2311"/>
      <c r="AF40" s="2290" t="s">
        <v>446</v>
      </c>
      <c r="AG40" s="2291"/>
      <c r="AH40" s="2290" t="s">
        <v>447</v>
      </c>
      <c r="AI40" s="2297"/>
      <c r="AJ40" s="2291"/>
      <c r="AK40" s="2306"/>
      <c r="AL40" s="2309"/>
      <c r="AM40" s="2155"/>
      <c r="AS40" s="1164">
        <v>34</v>
      </c>
    </row>
    <row customHeight="1" ht="35.699999999999996">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Q41" s="385"/>
      <c r="R41" s="385"/>
      <c r="S41" s="2301"/>
      <c r="T41" s="2237"/>
      <c r="U41" s="311"/>
      <c r="V41" s="2289"/>
      <c r="W41" s="2312"/>
      <c r="X41" s="1231" t="s">
        <v>455</v>
      </c>
      <c r="Y41" s="1231" t="s">
        <v>456</v>
      </c>
      <c r="Z41" s="1347" t="s">
        <v>457</v>
      </c>
      <c r="AA41" s="2298" t="s">
        <v>458</v>
      </c>
      <c r="AB41" s="2299"/>
      <c r="AC41" s="2307"/>
      <c r="AD41" s="2289"/>
      <c r="AE41" s="2312"/>
      <c r="AF41" s="1231" t="s">
        <v>455</v>
      </c>
      <c r="AG41" s="1231" t="s">
        <v>456</v>
      </c>
      <c r="AH41" s="1347" t="s">
        <v>457</v>
      </c>
      <c r="AI41" s="2298" t="s">
        <v>458</v>
      </c>
      <c r="AJ41" s="2299"/>
      <c r="AK41" s="2307"/>
      <c r="AL41" s="2310"/>
      <c r="AM41" s="2155"/>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344">
        <f>OFFSET(V42,0,-1)+1</f>
        <v>3</v>
      </c>
      <c r="W42" s="1344"/>
      <c r="X42" s="1344">
        <f>OFFSET(X42,0,-1)+1</f>
        <v>1</v>
      </c>
      <c r="Y42" s="1344">
        <f>OFFSET(Y42,0,-1)+1</f>
        <v>2</v>
      </c>
      <c r="Z42" s="1344">
        <f>OFFSET(Z42,0,-1)+1</f>
        <v>3</v>
      </c>
      <c r="AA42" s="2300">
        <f>OFFSET(AA42,0,-1)+1</f>
        <v>4</v>
      </c>
      <c r="AB42" s="2300"/>
      <c r="AC42" s="1344">
        <f>OFFSET(AC42,0,-2)+1</f>
        <v>5</v>
      </c>
      <c r="AD42" s="1344">
        <f>OFFSET(AD42,0,-1)+1</f>
        <v>6</v>
      </c>
      <c r="AE42" s="1344"/>
      <c r="AF42" s="1344">
        <f>OFFSET(AF42,0,-1)+1</f>
        <v>1</v>
      </c>
      <c r="AG42" s="1344">
        <f>OFFSET(AG42,0,-1)+1</f>
        <v>2</v>
      </c>
      <c r="AH42" s="1344">
        <f>OFFSET(AH42,0,-1)+1</f>
        <v>3</v>
      </c>
      <c r="AI42" s="2300">
        <f>OFFSET(AI42,0,-1)+1</f>
        <v>4</v>
      </c>
      <c r="AJ42" s="2300"/>
      <c r="AK42" s="1344">
        <f>OFFSET(AK42,0,-2)+1</f>
        <v>5</v>
      </c>
      <c r="AL42" s="1254">
        <f>OFFSET(AL42,0,-1)</f>
        <v>5</v>
      </c>
      <c r="AM42" s="1344">
        <f>OFFSET(AM42,0,-1)+1</f>
        <v>6</v>
      </c>
      <c r="AN42" s="520"/>
      <c r="AO42" s="520"/>
      <c r="AP42" s="520"/>
      <c r="AQ42" s="520"/>
      <c r="AR42" s="520"/>
      <c r="AS42" s="505">
        <v>0</v>
      </c>
    </row>
    <row customHeight="1" ht="22.049999999999997">
      <c r="A43" s="1372" t="s">
        <v>197</v>
      </c>
      <c r="B43" s="1372"/>
      <c r="C43" s="1372"/>
      <c r="D43" s="1372"/>
      <c r="E43" s="2286">
        <v>1</v>
      </c>
      <c r="F43" s="1372"/>
      <c r="G43" s="1372"/>
      <c r="H43" s="1372"/>
      <c r="I43" s="1372"/>
      <c r="J43" s="1372"/>
      <c r="K43" s="1372"/>
      <c r="L43" s="1373"/>
      <c r="M43" s="1374"/>
      <c r="N43" s="1374"/>
      <c r="O43" s="1374"/>
      <c r="P43" s="370"/>
      <c r="Q43" s="369"/>
      <c r="R43" s="364"/>
      <c r="S43" s="1345">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197</v>
      </c>
      <c r="B44" s="1372" t="s">
        <v>198</v>
      </c>
      <c r="C44" s="1372"/>
      <c r="D44" s="1372"/>
      <c r="E44" s="2287"/>
      <c r="F44" s="2286">
        <v>1</v>
      </c>
      <c r="G44" s="1372"/>
      <c r="H44" s="1372"/>
      <c r="I44" s="1372"/>
      <c r="J44" s="1372"/>
      <c r="K44" s="1372"/>
      <c r="L44" s="1373"/>
      <c r="M44" s="1374"/>
      <c r="N44" s="1374"/>
      <c r="O44" s="1374"/>
      <c r="P44" s="1341"/>
      <c r="Q44" s="361"/>
      <c r="R44" s="362"/>
      <c r="S44" s="1345"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21</v>
      </c>
    </row>
    <row customHeight="1" ht="24">
      <c r="A45" s="1372" t="s">
        <v>197</v>
      </c>
      <c r="B45" s="1372" t="s">
        <v>198</v>
      </c>
      <c r="C45" s="1372" t="s">
        <v>199</v>
      </c>
      <c r="D45" s="1372"/>
      <c r="E45" s="2287"/>
      <c r="F45" s="2287"/>
      <c r="G45" s="2286">
        <v>1</v>
      </c>
      <c r="H45" s="1372"/>
      <c r="I45" s="1372"/>
      <c r="J45" s="1372"/>
      <c r="K45" s="1372"/>
      <c r="L45" s="1373"/>
      <c r="M45" s="1374"/>
      <c r="N45" s="1374"/>
      <c r="O45" s="1374"/>
      <c r="P45" s="363"/>
      <c r="Q45" s="361"/>
      <c r="R45" s="362"/>
      <c r="S45" s="1345"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2.049999999999997">
      <c r="A46" s="1372" t="s">
        <v>197</v>
      </c>
      <c r="B46" s="1372" t="s">
        <v>198</v>
      </c>
      <c r="C46" s="1372" t="s">
        <v>199</v>
      </c>
      <c r="D46" s="1372" t="s">
        <v>200</v>
      </c>
      <c r="E46" s="2287"/>
      <c r="F46" s="2287"/>
      <c r="G46" s="2287"/>
      <c r="H46" s="2286">
        <v>1</v>
      </c>
      <c r="I46" s="1372"/>
      <c r="J46" s="1372"/>
      <c r="K46" s="1372"/>
      <c r="L46" s="1373"/>
      <c r="M46" s="1374"/>
      <c r="N46" s="1374"/>
      <c r="O46" s="1374"/>
      <c r="P46" s="363"/>
      <c r="Q46" s="361"/>
      <c r="R46" s="362"/>
      <c r="S46" s="1345"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21</v>
      </c>
    </row>
    <row s="1651" customFormat="1" customHeight="1" ht="0">
      <c r="A47" s="1352" t="s">
        <v>197</v>
      </c>
      <c r="B47" s="1352" t="s">
        <v>198</v>
      </c>
      <c r="C47" s="1352" t="s">
        <v>199</v>
      </c>
      <c r="D47" s="1352" t="s">
        <v>200</v>
      </c>
      <c r="E47" s="2287"/>
      <c r="F47" s="2287"/>
      <c r="G47" s="2287"/>
      <c r="H47" s="2287"/>
      <c r="I47" s="2284" t="str">
        <f>S46&amp;".1"</f>
        <v>....1</v>
      </c>
      <c r="J47" s="1352"/>
      <c r="K47" s="1352"/>
      <c r="L47" s="1355" t="s">
        <v>418</v>
      </c>
      <c r="M47" s="519"/>
      <c r="N47" s="519"/>
      <c r="O47" s="519"/>
      <c r="P47" s="2285">
        <v>1</v>
      </c>
      <c r="Q47" s="1340"/>
      <c r="R47" s="365"/>
      <c r="S47" s="1051"/>
      <c r="T47" s="1392"/>
      <c r="U47" s="1393"/>
      <c r="V47" s="2324"/>
      <c r="W47" s="2325"/>
      <c r="X47" s="2325"/>
      <c r="Y47" s="2325"/>
      <c r="Z47" s="2325"/>
      <c r="AA47" s="2325"/>
      <c r="AB47" s="2325"/>
      <c r="AC47" s="2326"/>
      <c r="AD47" s="2324"/>
      <c r="AE47" s="2325"/>
      <c r="AF47" s="2325"/>
      <c r="AG47" s="2325"/>
      <c r="AH47" s="2325"/>
      <c r="AI47" s="2325"/>
      <c r="AJ47" s="2325"/>
      <c r="AK47" s="2325"/>
      <c r="AL47" s="2326"/>
      <c r="AM47" s="1394"/>
      <c r="AO47" s="509"/>
      <c r="AP47" s="509" t="str">
        <f>IF(T47="","",T47)</f>
        <v/>
      </c>
      <c r="AQ47" s="509"/>
      <c r="AR47" s="509"/>
      <c r="AS47" s="520">
        <v>0</v>
      </c>
    </row>
    <row customHeight="1" ht="22.049999999999997">
      <c r="A48" s="1372" t="s">
        <v>197</v>
      </c>
      <c r="B48" s="1372" t="s">
        <v>198</v>
      </c>
      <c r="C48" s="1372" t="s">
        <v>199</v>
      </c>
      <c r="D48" s="1372" t="s">
        <v>200</v>
      </c>
      <c r="E48" s="2287"/>
      <c r="F48" s="2287"/>
      <c r="G48" s="2287"/>
      <c r="H48" s="2287"/>
      <c r="I48" s="2314"/>
      <c r="J48" s="2284" t="str">
        <f>S46&amp;".1"</f>
        <v>....1</v>
      </c>
      <c r="K48" s="1372"/>
      <c r="L48" s="1373" t="s">
        <v>421</v>
      </c>
      <c r="P48" s="2285"/>
      <c r="Q48" s="2285">
        <v>1</v>
      </c>
      <c r="R48" s="366"/>
      <c r="S48" s="1345" t="str">
        <f>$J48</f>
        <v>....1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21</v>
      </c>
    </row>
    <row customHeight="1" ht="22.049999999999997">
      <c r="A49" s="1372" t="s">
        <v>197</v>
      </c>
      <c r="B49" s="1372" t="s">
        <v>198</v>
      </c>
      <c r="C49" s="1372" t="s">
        <v>199</v>
      </c>
      <c r="D49" s="1372" t="s">
        <v>200</v>
      </c>
      <c r="E49" s="2287"/>
      <c r="F49" s="2287"/>
      <c r="G49" s="2287"/>
      <c r="H49" s="2287"/>
      <c r="I49" s="2314"/>
      <c r="J49" s="2314"/>
      <c r="K49" s="2284" t="str">
        <f>J48&amp;".1"</f>
        <v>....1.1</v>
      </c>
      <c r="L49" s="1373" t="s">
        <v>424</v>
      </c>
      <c r="P49" s="2285"/>
      <c r="Q49" s="2285"/>
      <c r="R49" s="366">
        <v>1</v>
      </c>
      <c r="S49" s="1345" t="str">
        <f>$K49</f>
        <v>....1.1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462</v>
      </c>
      <c r="AN49" s="520">
        <f>STRCHECKDATE(V50:AL50)</f>
      </c>
      <c r="AO49" s="509"/>
      <c r="AP49" s="509" t="str">
        <f>IF(T49="","",T49)</f>
        <v/>
      </c>
      <c r="AQ49" s="509"/>
      <c r="AR49" s="509"/>
      <c r="AS49" s="1164">
        <v>21</v>
      </c>
    </row>
    <row customHeight="1" ht="1.05">
      <c r="A50" s="1372" t="s">
        <v>197</v>
      </c>
      <c r="B50" s="1372" t="s">
        <v>198</v>
      </c>
      <c r="C50" s="1372" t="s">
        <v>199</v>
      </c>
      <c r="D50" s="1372" t="s">
        <v>200</v>
      </c>
      <c r="E50" s="2287"/>
      <c r="F50" s="2287"/>
      <c r="G50" s="2287"/>
      <c r="H50" s="2287"/>
      <c r="I50" s="2314"/>
      <c r="J50" s="2314"/>
      <c r="K50" s="2284"/>
      <c r="L50" s="1373"/>
      <c r="P50" s="2285"/>
      <c r="Q50" s="2285"/>
      <c r="R50" s="366"/>
      <c r="S50" s="1351"/>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1</v>
      </c>
    </row>
    <row customHeight="1" ht="11.549999999999999">
      <c r="A51" s="1372" t="s">
        <v>197</v>
      </c>
      <c r="B51" s="1372" t="s">
        <v>198</v>
      </c>
      <c r="C51" s="1372" t="s">
        <v>199</v>
      </c>
      <c r="D51" s="1372" t="s">
        <v>200</v>
      </c>
      <c r="E51" s="2287"/>
      <c r="F51" s="2287"/>
      <c r="G51" s="2287"/>
      <c r="H51" s="2287"/>
      <c r="I51" s="2314"/>
      <c r="J51" s="2284"/>
      <c r="K51" s="1372"/>
      <c r="L51" s="1373"/>
      <c r="P51" s="2285"/>
      <c r="Q51" s="2285"/>
      <c r="R51" s="365"/>
      <c r="S51" s="1287"/>
      <c r="T51" s="296"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197</v>
      </c>
      <c r="B52" s="1372" t="s">
        <v>198</v>
      </c>
      <c r="C52" s="1372" t="s">
        <v>199</v>
      </c>
      <c r="D52" s="1372" t="s">
        <v>200</v>
      </c>
      <c r="E52" s="2287"/>
      <c r="F52" s="2287"/>
      <c r="G52" s="2287"/>
      <c r="H52" s="2287"/>
      <c r="I52" s="2284"/>
      <c r="J52" s="1372"/>
      <c r="K52" s="1372"/>
      <c r="L52" s="1373"/>
      <c r="P52" s="2285"/>
      <c r="Q52" s="1340"/>
      <c r="R52" s="365"/>
      <c r="S52" s="1287"/>
      <c r="T52" s="374"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197</v>
      </c>
      <c r="B53" s="1372" t="s">
        <v>198</v>
      </c>
      <c r="C53" s="1372" t="s">
        <v>199</v>
      </c>
      <c r="D53" s="1372" t="s">
        <v>200</v>
      </c>
      <c r="E53" s="2287"/>
      <c r="F53" s="2287"/>
      <c r="G53" s="2287"/>
      <c r="H53" s="2286"/>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1.05">
      <c r="A54" s="1352" t="s">
        <v>197</v>
      </c>
      <c r="B54" s="1352" t="s">
        <v>198</v>
      </c>
      <c r="C54" s="1352" t="s">
        <v>199</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1</v>
      </c>
    </row>
    <row s="1651" customFormat="1" customHeight="1" ht="1.05">
      <c r="A55" s="1352" t="s">
        <v>197</v>
      </c>
      <c r="B55" s="1352" t="s">
        <v>198</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1</v>
      </c>
    </row>
    <row s="1651" customFormat="1" customHeight="1" ht="1.05">
      <c r="A56" s="1352" t="s">
        <v>197</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1</v>
      </c>
    </row>
    <row s="1651" customFormat="1" customHeight="1" ht="1.05">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1</v>
      </c>
    </row>
    <row customHeight="1" ht="11.549999999999999">
      <c r="M58" s="1169"/>
      <c r="N58" s="1169"/>
      <c r="O58" s="546"/>
      <c r="P58" s="1164"/>
      <c r="Q58" s="1164"/>
      <c r="R58" s="1164"/>
      <c r="S58" s="1164"/>
      <c r="AN58" s="1164"/>
      <c r="AO58" s="1164"/>
      <c r="AP58" s="1164"/>
      <c r="AQ58" s="1164"/>
      <c r="AR58" s="1164"/>
      <c r="AS58" s="1164">
        <v>11</v>
      </c>
    </row>
    <row customHeight="1" ht="23.25">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22</v>
      </c>
    </row>
    <row customHeight="1" ht="30.45">
      <c r="O60" s="546"/>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29</v>
      </c>
    </row>
    <row customHeight="1" ht="42">
      <c r="O61" s="546"/>
      <c r="T61" s="2313"/>
      <c r="U61" s="2313"/>
      <c r="V61" s="2313"/>
      <c r="W61" s="2313"/>
      <c r="X61" s="2313"/>
      <c r="Y61" s="2313"/>
      <c r="Z61" s="2313"/>
      <c r="AA61" s="2313"/>
      <c r="AB61" s="2313"/>
      <c r="AC61" s="2313"/>
      <c r="AD61" s="2313"/>
      <c r="AE61" s="2313"/>
      <c r="AF61" s="2313"/>
      <c r="AG61" s="2313"/>
      <c r="AH61" s="2313"/>
      <c r="AI61" s="2313"/>
      <c r="AJ61" s="2313"/>
      <c r="AK61" s="2313"/>
      <c r="AL61" s="2313"/>
      <c r="AM61" s="2313"/>
      <c r="AS61" s="1164">
        <v>40</v>
      </c>
    </row>
    <row customHeight="1" ht="14.699999999999998">
      <c r="O62" s="546"/>
      <c r="AS62" s="1164">
        <v>14</v>
      </c>
    </row>
    <row customHeight="1" ht="21">
      <c r="O63" s="546"/>
      <c r="S63" s="1262"/>
      <c r="T63" s="2327"/>
      <c r="U63" s="2313"/>
      <c r="V63" s="2313"/>
      <c r="W63" s="2313"/>
      <c r="X63" s="2313"/>
      <c r="Y63" s="2313"/>
      <c r="Z63" s="2313"/>
      <c r="AA63" s="2313"/>
      <c r="AB63" s="2313"/>
      <c r="AC63" s="2313"/>
      <c r="AD63" s="2313"/>
      <c r="AE63" s="2313"/>
      <c r="AF63" s="2313"/>
      <c r="AG63" s="2313"/>
      <c r="AH63" s="2313"/>
      <c r="AI63" s="2313"/>
      <c r="AJ63" s="2313"/>
      <c r="AK63" s="2313"/>
      <c r="AL63" s="2313"/>
      <c r="AM63" s="2313"/>
      <c r="AS63" s="1164">
        <v>20</v>
      </c>
    </row>
    <row customHeight="1" ht="29.25">
      <c r="O64" s="546"/>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28</v>
      </c>
    </row>
    <row customHeight="1" ht="35.699999999999996">
      <c r="T65" s="2313"/>
      <c r="U65" s="2313"/>
      <c r="V65" s="2313"/>
      <c r="W65" s="2313"/>
      <c r="X65" s="2313"/>
      <c r="Y65" s="2313"/>
      <c r="Z65" s="2313"/>
      <c r="AA65" s="2313"/>
      <c r="AB65" s="2313"/>
      <c r="AC65" s="2313"/>
      <c r="AD65" s="2313"/>
      <c r="AE65" s="2313"/>
      <c r="AF65" s="2313"/>
      <c r="AG65" s="2313"/>
      <c r="AH65" s="2313"/>
      <c r="AI65" s="2313"/>
      <c r="AJ65" s="2313"/>
      <c r="AK65" s="2313"/>
      <c r="AL65" s="2313"/>
      <c r="AM65" s="2313"/>
      <c r="AS65" s="1164">
        <v>34</v>
      </c>
    </row>
    <row customHeight="1" ht="22.5" hidden="1">
      <c r="A66" s="1169" t="s">
        <v>83</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1F385A-F397-3F8C-B702-0.358BBB76}"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2425" width="3.7109375" hidden="1" customWidth="1"/>
    <col min="17" max="18" style="353" width="3.00390625" customWidth="1"/>
    <col min="19" max="19" style="2435" width="12.00390625" customWidth="1"/>
    <col min="20" max="20" style="1644" width="31.00390625" customWidth="1"/>
    <col min="21" max="21" style="1644" width="0.140625" customWidth="1"/>
    <col min="22" max="22" style="1644" width="24.7109375" hidden="1" customWidth="1"/>
    <col min="23" max="23" style="1644" width="0.140625" hidden="1" customWidth="1"/>
    <col min="24" max="25" style="1644" width="24.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24.7109375" customWidth="1"/>
    <col min="31" max="31" style="1644" width="0.140625" customWidth="1"/>
    <col min="32" max="33" style="1644" width="24.00390625" customWidth="1"/>
    <col min="34" max="34" style="1644" width="11.00390625" customWidth="1"/>
    <col min="35" max="35" style="1644" width="3.7109375" customWidth="1"/>
    <col min="36" max="36" style="1644" width="11.00390625" customWidth="1"/>
    <col min="37" max="37" style="1644" width="8.57421875" hidden="1" customWidth="1"/>
    <col min="38" max="38" style="1644" width="4.00390625" customWidth="1"/>
    <col min="39" max="39" style="1644" width="115.00390625" customWidth="1"/>
    <col min="40" max="44" style="1651" width="10.00390625" customWidth="1"/>
    <col min="45" max="45" style="1644" width="10.57421875" hidden="1"/>
  </cols>
  <sheetData>
    <row customHeight="1" ht="22.5" hidden="1">
      <c r="Y1" s="336"/>
      <c r="Z1" s="336"/>
      <c r="AG1" s="336"/>
      <c r="AH1" s="336"/>
      <c r="AS1" s="1164" t="s">
        <v>14</v>
      </c>
    </row>
    <row customHeight="1" ht="21" hidden="1">
      <c r="A2" s="1372"/>
      <c r="B2" s="1372"/>
      <c r="C2" s="1372"/>
      <c r="D2" s="1372"/>
      <c r="E2" s="2286">
        <v>1</v>
      </c>
      <c r="F2" s="1372"/>
      <c r="G2" s="1372"/>
      <c r="H2" s="1372"/>
      <c r="I2" s="1372"/>
      <c r="J2" s="1372"/>
      <c r="K2" s="1372"/>
      <c r="L2" s="1373"/>
      <c r="M2" s="1374"/>
      <c r="N2" s="1374"/>
      <c r="O2" s="1374"/>
      <c r="P2" s="370"/>
      <c r="Q2" s="369"/>
      <c r="R2" s="364"/>
      <c r="S2" s="1345">
        <f>INDEX(PT_DIFFERENTIATION_NUM_NTAR,MATCH(A2,PT_DIFFERENTIATION_NTAR_ID,0))</f>
      </c>
      <c r="T2" s="307" t="s">
        <v>140</v>
      </c>
      <c r="U2" s="309"/>
      <c r="V2" s="2270"/>
      <c r="W2" s="2271"/>
      <c r="X2" s="2271"/>
      <c r="Y2" s="2271"/>
      <c r="Z2" s="2271"/>
      <c r="AA2" s="2271"/>
      <c r="AB2" s="2271"/>
      <c r="AC2" s="2272"/>
      <c r="AD2" s="2270">
        <f>INDEX(PT_DIFFERENTIATION_NTAR,MATCH(A2,PT_DIFFERENTIATION_NTAR_ID,0))</f>
      </c>
      <c r="AE2" s="2271"/>
      <c r="AF2" s="2271"/>
      <c r="AG2" s="2271"/>
      <c r="AH2" s="2271"/>
      <c r="AI2" s="2271"/>
      <c r="AJ2" s="2271"/>
      <c r="AK2" s="2271"/>
      <c r="AL2" s="2272"/>
      <c r="AM2" s="1267" t="s">
        <v>411</v>
      </c>
      <c r="AO2" s="509"/>
      <c r="AP2" s="509" t="str">
        <f>IF(T2="","",T2)</f>
        <v>Наименование тарифа</v>
      </c>
      <c r="AQ2" s="509"/>
      <c r="AR2" s="509"/>
      <c r="AS2" s="1164">
        <v>0</v>
      </c>
    </row>
    <row customHeight="1" ht="21" hidden="1">
      <c r="A3" s="1372"/>
      <c r="B3" s="1372"/>
      <c r="C3" s="1372"/>
      <c r="D3" s="1372"/>
      <c r="E3" s="2287"/>
      <c r="F3" s="2286">
        <v>1</v>
      </c>
      <c r="G3" s="1372"/>
      <c r="H3" s="1372"/>
      <c r="I3" s="1372"/>
      <c r="J3" s="1372"/>
      <c r="K3" s="1372"/>
      <c r="L3" s="1373"/>
      <c r="M3" s="1374"/>
      <c r="N3" s="1374"/>
      <c r="O3" s="1374"/>
      <c r="P3" s="1341"/>
      <c r="Q3" s="361"/>
      <c r="R3" s="362"/>
      <c r="S3" s="1345">
        <f>INDEX(PT_DIFFERENTIATION_NUM_TER,MATCH(B3,PT_DIFFERENTIATION_TER_ID,0))</f>
      </c>
      <c r="T3" s="317" t="s">
        <v>412</v>
      </c>
      <c r="U3" s="309"/>
      <c r="V3" s="2270"/>
      <c r="W3" s="2271"/>
      <c r="X3" s="2271"/>
      <c r="Y3" s="2271"/>
      <c r="Z3" s="2271"/>
      <c r="AA3" s="2271"/>
      <c r="AB3" s="2271"/>
      <c r="AC3" s="2272"/>
      <c r="AD3" s="2270">
        <f>INDEX(PT_DIFFERENTIATION_TER,MATCH(B3,PT_DIFFERENTIATION_TER_ID,0))</f>
      </c>
      <c r="AE3" s="2271"/>
      <c r="AF3" s="2271"/>
      <c r="AG3" s="2271"/>
      <c r="AH3" s="2271"/>
      <c r="AI3" s="2271"/>
      <c r="AJ3" s="2271"/>
      <c r="AK3" s="2271"/>
      <c r="AL3" s="2272"/>
      <c r="AM3" s="1267" t="s">
        <v>413</v>
      </c>
      <c r="AO3" s="509"/>
      <c r="AP3" s="509" t="str">
        <f>IF(T3="","",T3)</f>
        <v>Территория действия тарифа</v>
      </c>
      <c r="AQ3" s="509"/>
      <c r="AR3" s="509"/>
      <c r="AS3" s="1164">
        <v>0</v>
      </c>
    </row>
    <row customHeight="1" ht="23.25" hidden="1">
      <c r="A4" s="1372"/>
      <c r="B4" s="1372"/>
      <c r="C4" s="1372"/>
      <c r="D4" s="1372"/>
      <c r="E4" s="2287"/>
      <c r="F4" s="2287"/>
      <c r="G4" s="2286">
        <v>1</v>
      </c>
      <c r="H4" s="1372"/>
      <c r="I4" s="1372"/>
      <c r="J4" s="1372"/>
      <c r="K4" s="1372"/>
      <c r="L4" s="1373"/>
      <c r="M4" s="1374"/>
      <c r="N4" s="1374"/>
      <c r="O4" s="1374"/>
      <c r="P4" s="363"/>
      <c r="Q4" s="361"/>
      <c r="R4" s="362"/>
      <c r="S4" s="1345">
        <f>INDEX(PT_DIFFERENTIATION_NUM_CS,MATCH(C4,PT_DIFFERENTIATION_CS_ID,0))</f>
      </c>
      <c r="T4" s="318" t="s">
        <v>414</v>
      </c>
      <c r="U4" s="309"/>
      <c r="V4" s="2270"/>
      <c r="W4" s="2271"/>
      <c r="X4" s="2271"/>
      <c r="Y4" s="2271"/>
      <c r="Z4" s="2271"/>
      <c r="AA4" s="2271"/>
      <c r="AB4" s="2271"/>
      <c r="AC4" s="2272"/>
      <c r="AD4" s="2270">
        <f>INDEX(PT_DIFFERENTIATION_CS,MATCH(C4,PT_DIFFERENTIATION_CS_ID,0))</f>
      </c>
      <c r="AE4" s="2271"/>
      <c r="AF4" s="2271"/>
      <c r="AG4" s="2271"/>
      <c r="AH4" s="2271"/>
      <c r="AI4" s="2271"/>
      <c r="AJ4" s="2271"/>
      <c r="AK4" s="2271"/>
      <c r="AL4" s="2272"/>
      <c r="AM4" s="1267" t="s">
        <v>415</v>
      </c>
      <c r="AO4" s="509"/>
      <c r="AP4" s="509" t="str">
        <f>IF(T4="","",T4)</f>
        <v>Наименование системы теплоснабжения </v>
      </c>
      <c r="AQ4" s="509"/>
      <c r="AR4" s="509"/>
      <c r="AS4" s="1164">
        <v>0</v>
      </c>
    </row>
    <row customHeight="1" ht="21" hidden="1">
      <c r="A5" s="1372"/>
      <c r="B5" s="1372"/>
      <c r="C5" s="1372"/>
      <c r="D5" s="1372"/>
      <c r="E5" s="2287"/>
      <c r="F5" s="2287"/>
      <c r="G5" s="2287"/>
      <c r="H5" s="2286">
        <v>1</v>
      </c>
      <c r="I5" s="1372"/>
      <c r="J5" s="1372"/>
      <c r="K5" s="1372"/>
      <c r="L5" s="1373"/>
      <c r="M5" s="1374"/>
      <c r="N5" s="1374"/>
      <c r="O5" s="1374"/>
      <c r="P5" s="363"/>
      <c r="Q5" s="361"/>
      <c r="R5" s="362"/>
      <c r="S5" s="1345">
        <f>INDEX(PT_DIFFERENTIATION_NUM_IST_TE,MATCH(D5,PT_DIFFERENTIATION_IST_TE_ID,0))</f>
      </c>
      <c r="T5" s="319" t="s">
        <v>416</v>
      </c>
      <c r="U5" s="309"/>
      <c r="V5" s="2270"/>
      <c r="W5" s="2271"/>
      <c r="X5" s="2271"/>
      <c r="Y5" s="2271"/>
      <c r="Z5" s="2271"/>
      <c r="AA5" s="2271"/>
      <c r="AB5" s="2271"/>
      <c r="AC5" s="2272"/>
      <c r="AD5" s="2270">
        <f>INDEX(PT_DIFFERENTIATION_IST_TE,MATCH(D5,PT_DIFFERENTIATION_IST_TE_ID,0))</f>
      </c>
      <c r="AE5" s="2271"/>
      <c r="AF5" s="2271"/>
      <c r="AG5" s="2271"/>
      <c r="AH5" s="2271"/>
      <c r="AI5" s="2271"/>
      <c r="AJ5" s="2271"/>
      <c r="AK5" s="2271"/>
      <c r="AL5" s="2272"/>
      <c r="AM5" s="1267" t="s">
        <v>417</v>
      </c>
      <c r="AO5" s="509"/>
      <c r="AP5" s="509" t="str">
        <f>IF(T5="","",T5)</f>
        <v>Источник тепловой энергии  </v>
      </c>
      <c r="AQ5" s="509"/>
      <c r="AR5" s="509"/>
      <c r="AS5" s="1164">
        <v>0</v>
      </c>
    </row>
    <row customHeight="1" ht="14.25" hidden="1">
      <c r="A6" s="1372"/>
      <c r="B6" s="1372"/>
      <c r="C6" s="1372"/>
      <c r="D6" s="1372"/>
      <c r="E6" s="2287"/>
      <c r="F6" s="2287"/>
      <c r="G6" s="2287"/>
      <c r="H6" s="2287"/>
      <c r="I6" s="2284">
        <f>S5&amp;".1"</f>
      </c>
      <c r="J6" s="1372"/>
      <c r="K6" s="1372"/>
      <c r="L6" s="1373" t="s">
        <v>418</v>
      </c>
      <c r="M6" s="546"/>
      <c r="P6" s="2285">
        <v>1</v>
      </c>
      <c r="Q6" s="1340"/>
      <c r="R6" s="365"/>
      <c r="S6" s="1051"/>
      <c r="T6" s="1392"/>
      <c r="U6" s="1393"/>
      <c r="V6" s="2324"/>
      <c r="W6" s="2325"/>
      <c r="X6" s="2325"/>
      <c r="Y6" s="2325"/>
      <c r="Z6" s="2325"/>
      <c r="AA6" s="2325"/>
      <c r="AB6" s="2325"/>
      <c r="AC6" s="2326"/>
      <c r="AD6" s="2324"/>
      <c r="AE6" s="2325"/>
      <c r="AF6" s="2325"/>
      <c r="AG6" s="2325"/>
      <c r="AH6" s="2325"/>
      <c r="AI6" s="2325"/>
      <c r="AJ6" s="2325"/>
      <c r="AK6" s="2325"/>
      <c r="AL6" s="2326"/>
      <c r="AM6" s="1394"/>
      <c r="AO6" s="509"/>
      <c r="AP6" s="509" t="str">
        <f>IF(T6="","",T6)</f>
        <v/>
      </c>
      <c r="AQ6" s="509"/>
      <c r="AR6" s="509"/>
      <c r="AS6" s="1164">
        <v>0</v>
      </c>
    </row>
    <row customHeight="1" ht="21" hidden="1">
      <c r="A7" s="1372"/>
      <c r="B7" s="1372"/>
      <c r="C7" s="1372"/>
      <c r="D7" s="1372"/>
      <c r="E7" s="2287"/>
      <c r="F7" s="2287"/>
      <c r="G7" s="2287"/>
      <c r="H7" s="2287"/>
      <c r="I7" s="2314"/>
      <c r="J7" s="2284">
        <f>I6&amp;".1"</f>
      </c>
      <c r="K7" s="1372"/>
      <c r="L7" s="1373" t="s">
        <v>421</v>
      </c>
      <c r="M7" s="546"/>
      <c r="N7" s="1375"/>
      <c r="P7" s="2285"/>
      <c r="Q7" s="2285">
        <v>1</v>
      </c>
      <c r="R7" s="366"/>
      <c r="S7" s="1345">
        <f>$J7</f>
      </c>
      <c r="T7" s="295" t="s">
        <v>422</v>
      </c>
      <c r="U7" s="309"/>
      <c r="V7" s="2273"/>
      <c r="W7" s="2274"/>
      <c r="X7" s="2274"/>
      <c r="Y7" s="2274"/>
      <c r="Z7" s="2274"/>
      <c r="AA7" s="2274"/>
      <c r="AB7" s="2274"/>
      <c r="AC7" s="2275"/>
      <c r="AD7" s="2273"/>
      <c r="AE7" s="2274"/>
      <c r="AF7" s="2274"/>
      <c r="AG7" s="2274"/>
      <c r="AH7" s="2274"/>
      <c r="AI7" s="2274"/>
      <c r="AJ7" s="2274"/>
      <c r="AK7" s="2274"/>
      <c r="AL7" s="2275"/>
      <c r="AM7" s="1267" t="s">
        <v>423</v>
      </c>
      <c r="AO7" s="509"/>
      <c r="AP7" s="509" t="str">
        <f>IF(T7="","",T7)</f>
        <v>Группа потребителей</v>
      </c>
      <c r="AQ7" s="509"/>
      <c r="AR7" s="509"/>
      <c r="AS7" s="1164">
        <v>0</v>
      </c>
    </row>
    <row customHeight="1" ht="21" hidden="1">
      <c r="A8" s="1372"/>
      <c r="B8" s="1372"/>
      <c r="C8" s="1372"/>
      <c r="D8" s="1372"/>
      <c r="E8" s="2287"/>
      <c r="F8" s="2287"/>
      <c r="G8" s="2287"/>
      <c r="H8" s="2287"/>
      <c r="I8" s="2314"/>
      <c r="J8" s="2314"/>
      <c r="K8" s="2284">
        <f>J7&amp;".1"</f>
      </c>
      <c r="L8" s="1373" t="s">
        <v>424</v>
      </c>
      <c r="M8" s="546"/>
      <c r="N8" s="1375"/>
      <c r="O8" s="1375"/>
      <c r="P8" s="2285"/>
      <c r="Q8" s="2285"/>
      <c r="R8" s="366">
        <v>1</v>
      </c>
      <c r="S8" s="1345">
        <f>$K8</f>
      </c>
      <c r="T8" s="1356"/>
      <c r="U8" s="309"/>
      <c r="V8" s="760"/>
      <c r="W8" s="334"/>
      <c r="X8" s="760"/>
      <c r="Y8" s="1266"/>
      <c r="Z8" s="2293"/>
      <c r="AA8" s="2135" t="s">
        <v>63</v>
      </c>
      <c r="AB8" s="2293"/>
      <c r="AC8" s="2135" t="s">
        <v>63</v>
      </c>
      <c r="AD8" s="760"/>
      <c r="AE8" s="334"/>
      <c r="AF8" s="760"/>
      <c r="AG8" s="1266"/>
      <c r="AH8" s="2293"/>
      <c r="AI8" s="2135" t="s">
        <v>63</v>
      </c>
      <c r="AJ8" s="2293"/>
      <c r="AK8" s="2135" t="s">
        <v>63</v>
      </c>
      <c r="AL8" s="334"/>
      <c r="AM8" s="2281" t="s">
        <v>425</v>
      </c>
      <c r="AN8" s="520">
        <f>STRCHECKDATE(V9:AL9)</f>
      </c>
      <c r="AO8" s="509"/>
      <c r="AP8" s="509" t="str">
        <f>IF(T8="","",T8)</f>
        <v/>
      </c>
      <c r="AQ8" s="509"/>
      <c r="AR8" s="509"/>
      <c r="AS8" s="1164">
        <v>0</v>
      </c>
    </row>
    <row customHeight="1" ht="14.25" hidden="1">
      <c r="A9" s="1372"/>
      <c r="B9" s="1372"/>
      <c r="C9" s="1372"/>
      <c r="D9" s="1372"/>
      <c r="E9" s="2287"/>
      <c r="F9" s="2287"/>
      <c r="G9" s="2287"/>
      <c r="H9" s="2287"/>
      <c r="I9" s="2314"/>
      <c r="J9" s="2314"/>
      <c r="K9" s="2284"/>
      <c r="L9" s="1373"/>
      <c r="M9" s="546"/>
      <c r="N9" s="1375"/>
      <c r="O9" s="1375"/>
      <c r="P9" s="2285"/>
      <c r="Q9" s="2285"/>
      <c r="R9" s="366"/>
      <c r="S9" s="1351"/>
      <c r="T9" s="309"/>
      <c r="U9" s="309"/>
      <c r="V9" s="334"/>
      <c r="W9" s="334"/>
      <c r="X9" s="334"/>
      <c r="Y9" s="337" t="str">
        <f>Z8&amp;"-"&amp;AB8</f>
        <v>-</v>
      </c>
      <c r="Z9" s="2294"/>
      <c r="AA9" s="2135"/>
      <c r="AB9" s="2294"/>
      <c r="AC9" s="2135"/>
      <c r="AD9" s="334"/>
      <c r="AE9" s="334"/>
      <c r="AF9" s="334"/>
      <c r="AG9" s="337" t="str">
        <f>AH8&amp;"-"&amp;AJ8</f>
        <v>-</v>
      </c>
      <c r="AH9" s="2294"/>
      <c r="AI9" s="2135"/>
      <c r="AJ9" s="2294"/>
      <c r="AK9" s="2135"/>
      <c r="AL9" s="334"/>
      <c r="AM9" s="2282"/>
      <c r="AO9" s="509"/>
      <c r="AP9" s="509" t="str">
        <f>IF(T9="","",T9)</f>
        <v/>
      </c>
      <c r="AQ9" s="509"/>
      <c r="AR9" s="509"/>
      <c r="AS9" s="1164">
        <v>0</v>
      </c>
    </row>
    <row customHeight="1" ht="15" hidden="1">
      <c r="A10" s="1372"/>
      <c r="B10" s="1372"/>
      <c r="C10" s="1372"/>
      <c r="D10" s="1372"/>
      <c r="E10" s="2287"/>
      <c r="F10" s="2287"/>
      <c r="G10" s="2287"/>
      <c r="H10" s="2287"/>
      <c r="I10" s="2314"/>
      <c r="J10" s="2284"/>
      <c r="K10" s="1372"/>
      <c r="L10" s="1373"/>
      <c r="M10" s="546"/>
      <c r="N10" s="1375"/>
      <c r="P10" s="2285"/>
      <c r="Q10" s="2285"/>
      <c r="R10" s="365"/>
      <c r="S10" s="1287"/>
      <c r="T10" s="296" t="s">
        <v>426</v>
      </c>
      <c r="U10" s="376"/>
      <c r="V10" s="376"/>
      <c r="W10" s="376"/>
      <c r="X10" s="376"/>
      <c r="Y10" s="376"/>
      <c r="Z10" s="376"/>
      <c r="AA10" s="376"/>
      <c r="AB10" s="376"/>
      <c r="AC10" s="376"/>
      <c r="AD10" s="376"/>
      <c r="AE10" s="376"/>
      <c r="AF10" s="376"/>
      <c r="AG10" s="376"/>
      <c r="AH10" s="376"/>
      <c r="AI10" s="376"/>
      <c r="AJ10" s="376"/>
      <c r="AK10" s="376"/>
      <c r="AL10" s="333"/>
      <c r="AM10" s="2283"/>
      <c r="AO10" s="509"/>
      <c r="AP10" s="509" t="str">
        <f>IF(T10="","",T10)</f>
        <v>Добавить вид теплоносителя (параметры теплоносителя)</v>
      </c>
      <c r="AQ10" s="509"/>
      <c r="AR10" s="509"/>
      <c r="AS10" s="1164">
        <v>0</v>
      </c>
    </row>
    <row customHeight="1" ht="11.25" hidden="1">
      <c r="A11" s="1372"/>
      <c r="B11" s="1372"/>
      <c r="C11" s="1372"/>
      <c r="D11" s="1372"/>
      <c r="E11" s="2287"/>
      <c r="F11" s="2287"/>
      <c r="G11" s="2287"/>
      <c r="H11" s="2287"/>
      <c r="I11" s="2284"/>
      <c r="J11" s="1372"/>
      <c r="K11" s="1372"/>
      <c r="L11" s="1373"/>
      <c r="M11" s="546"/>
      <c r="P11" s="2285"/>
      <c r="Q11" s="1340"/>
      <c r="R11" s="365"/>
      <c r="S11" s="1287"/>
      <c r="T11" s="374" t="s">
        <v>427</v>
      </c>
      <c r="U11" s="376"/>
      <c r="V11" s="376"/>
      <c r="W11" s="376"/>
      <c r="X11" s="376"/>
      <c r="Y11" s="376"/>
      <c r="Z11" s="376"/>
      <c r="AA11" s="376"/>
      <c r="AB11" s="376"/>
      <c r="AC11" s="375"/>
      <c r="AD11" s="376"/>
      <c r="AE11" s="376"/>
      <c r="AF11" s="376"/>
      <c r="AG11" s="376"/>
      <c r="AH11" s="376"/>
      <c r="AI11" s="376"/>
      <c r="AJ11" s="376"/>
      <c r="AK11" s="375"/>
      <c r="AL11" s="376"/>
      <c r="AM11" s="312"/>
      <c r="AO11" s="509"/>
      <c r="AP11" s="509" t="str">
        <f>IF(T11="","",T11)</f>
        <v>Добавить группу потребителей</v>
      </c>
      <c r="AQ11" s="509"/>
      <c r="AR11" s="509"/>
      <c r="AS11" s="1164">
        <v>0</v>
      </c>
    </row>
    <row customHeight="1" ht="14.25" hidden="1">
      <c r="A12" s="1372"/>
      <c r="B12" s="1372"/>
      <c r="C12" s="1372"/>
      <c r="D12" s="1372"/>
      <c r="E12" s="2287"/>
      <c r="F12" s="2287"/>
      <c r="G12" s="2287"/>
      <c r="H12" s="2286"/>
      <c r="I12" s="1372"/>
      <c r="J12" s="1372"/>
      <c r="K12" s="1372"/>
      <c r="L12" s="1373"/>
      <c r="M12" s="1374"/>
      <c r="N12" s="1374"/>
      <c r="O12" s="546"/>
      <c r="P12" s="369"/>
      <c r="Q12" s="384"/>
      <c r="R12" s="364"/>
      <c r="S12" s="1395"/>
      <c r="T12" s="1396"/>
      <c r="U12" s="1397"/>
      <c r="V12" s="1397"/>
      <c r="W12" s="1397"/>
      <c r="X12" s="1397"/>
      <c r="Y12" s="1397"/>
      <c r="Z12" s="1397"/>
      <c r="AA12" s="1397"/>
      <c r="AB12" s="1397"/>
      <c r="AC12" s="1397"/>
      <c r="AD12" s="1397"/>
      <c r="AE12" s="1397"/>
      <c r="AF12" s="1397"/>
      <c r="AG12" s="1397"/>
      <c r="AH12" s="1397"/>
      <c r="AI12" s="1397"/>
      <c r="AJ12" s="1397"/>
      <c r="AK12" s="1397"/>
      <c r="AL12" s="1397"/>
      <c r="AM12" s="1398"/>
      <c r="AO12" s="509"/>
      <c r="AP12" s="509" t="str">
        <f>IF(T12="","",T12)</f>
        <v/>
      </c>
      <c r="AQ12" s="509"/>
      <c r="AR12" s="509"/>
      <c r="AS12" s="1164">
        <v>0</v>
      </c>
    </row>
    <row s="1651" customFormat="1" customHeight="1" ht="14.25" hidden="1">
      <c r="A13" s="1323"/>
      <c r="B13" s="1323"/>
      <c r="C13" s="1323"/>
      <c r="D13" s="1323"/>
      <c r="E13" s="2287"/>
      <c r="F13" s="2287"/>
      <c r="G13" s="2286"/>
      <c r="H13" s="1323"/>
      <c r="I13" s="1323"/>
      <c r="J13" s="1323"/>
      <c r="K13" s="1323"/>
      <c r="L13" s="1348"/>
      <c r="M13" s="1324"/>
      <c r="N13" s="1324"/>
      <c r="P13" s="1325"/>
      <c r="Q13" s="1326"/>
      <c r="R13" s="1325"/>
      <c r="S13" s="1327"/>
      <c r="T13" s="1328" t="s">
        <v>429</v>
      </c>
      <c r="U13" s="1329"/>
      <c r="V13" s="1329"/>
      <c r="W13" s="1329"/>
      <c r="X13" s="1329"/>
      <c r="Y13" s="1329"/>
      <c r="Z13" s="1329"/>
      <c r="AA13" s="1329"/>
      <c r="AB13" s="1329"/>
      <c r="AC13" s="1329"/>
      <c r="AD13" s="1329"/>
      <c r="AE13" s="1329"/>
      <c r="AF13" s="1329"/>
      <c r="AG13" s="1329"/>
      <c r="AH13" s="1329"/>
      <c r="AI13" s="1329"/>
      <c r="AJ13" s="1329"/>
      <c r="AK13" s="1329"/>
      <c r="AL13" s="1329"/>
      <c r="AM13" s="1329"/>
      <c r="AO13" s="798"/>
      <c r="AP13" s="798" t="str">
        <f>IF(T13="","",T13)</f>
        <v>Добавить источник для дифференциации</v>
      </c>
      <c r="AQ13" s="798"/>
      <c r="AR13" s="798"/>
      <c r="AS13" s="527">
        <v>0</v>
      </c>
    </row>
    <row s="1651" customFormat="1" customHeight="1" ht="14.25" hidden="1">
      <c r="A14" s="1323"/>
      <c r="B14" s="1323"/>
      <c r="C14" s="1323"/>
      <c r="D14" s="1323"/>
      <c r="E14" s="2287"/>
      <c r="F14" s="2286"/>
      <c r="G14" s="1323"/>
      <c r="H14" s="1323"/>
      <c r="I14" s="1323"/>
      <c r="J14" s="1323"/>
      <c r="K14" s="1323"/>
      <c r="L14" s="1348"/>
      <c r="M14" s="1330"/>
      <c r="N14" s="1330"/>
      <c r="P14" s="1325"/>
      <c r="Q14" s="1326"/>
      <c r="R14" s="1325"/>
      <c r="S14" s="1331"/>
      <c r="T14" s="1332" t="s">
        <v>430</v>
      </c>
      <c r="U14" s="1333"/>
      <c r="V14" s="1333"/>
      <c r="W14" s="1333"/>
      <c r="X14" s="1333"/>
      <c r="Y14" s="1333"/>
      <c r="Z14" s="1333"/>
      <c r="AA14" s="1333"/>
      <c r="AB14" s="1333"/>
      <c r="AC14" s="1333"/>
      <c r="AD14" s="1333"/>
      <c r="AE14" s="1333"/>
      <c r="AF14" s="1333"/>
      <c r="AG14" s="1333"/>
      <c r="AH14" s="1333"/>
      <c r="AI14" s="1333"/>
      <c r="AJ14" s="1333"/>
      <c r="AK14" s="1333"/>
      <c r="AL14" s="1333"/>
      <c r="AM14" s="1333"/>
      <c r="AO14" s="798"/>
      <c r="AP14" s="798" t="str">
        <f>IF(T14="","",T14)</f>
        <v>Добавить централизованную систему для дифференциации</v>
      </c>
      <c r="AQ14" s="798"/>
      <c r="AR14" s="798"/>
      <c r="AS14" s="527">
        <v>0</v>
      </c>
    </row>
    <row s="1651" customFormat="1" customHeight="1" ht="14.25" hidden="1">
      <c r="A15" s="1323"/>
      <c r="B15" s="1323"/>
      <c r="C15" s="1323"/>
      <c r="D15" s="1323"/>
      <c r="E15" s="2286"/>
      <c r="F15" s="1323"/>
      <c r="G15" s="1323"/>
      <c r="H15" s="1323"/>
      <c r="I15" s="1323"/>
      <c r="J15" s="1323"/>
      <c r="K15" s="1323"/>
      <c r="L15" s="1348"/>
      <c r="M15" s="1330"/>
      <c r="N15" s="1330"/>
      <c r="P15" s="1325"/>
      <c r="Q15" s="1326"/>
      <c r="R15" s="1325"/>
      <c r="S15" s="1331"/>
      <c r="T15" s="1334" t="s">
        <v>431</v>
      </c>
      <c r="U15" s="1333"/>
      <c r="V15" s="1333"/>
      <c r="W15" s="1333"/>
      <c r="X15" s="1333"/>
      <c r="Y15" s="1333"/>
      <c r="Z15" s="1333"/>
      <c r="AA15" s="1333"/>
      <c r="AB15" s="1333"/>
      <c r="AC15" s="1333"/>
      <c r="AD15" s="1333"/>
      <c r="AE15" s="1333"/>
      <c r="AF15" s="1333"/>
      <c r="AG15" s="1333"/>
      <c r="AH15" s="1333"/>
      <c r="AI15" s="1333"/>
      <c r="AJ15" s="1333"/>
      <c r="AK15" s="1333"/>
      <c r="AL15" s="1333"/>
      <c r="AM15" s="1333"/>
      <c r="AO15" s="798"/>
      <c r="AP15" s="798" t="str">
        <f>IF(T15="","",T15)</f>
        <v>Добавить территорию для дифференциации</v>
      </c>
      <c r="AQ15" s="798"/>
      <c r="AR15" s="798"/>
      <c r="AS15" s="527">
        <v>0</v>
      </c>
    </row>
    <row customHeight="1" ht="14.25" hidden="1">
      <c r="AC16" s="336"/>
      <c r="AK16" s="336"/>
      <c r="AS16" s="1164">
        <v>0</v>
      </c>
    </row>
    <row customHeight="1" ht="14.25" hidden="1">
      <c r="AD17" s="1369"/>
      <c r="AE17" s="1369"/>
      <c r="AF17" s="1369"/>
      <c r="AG17" s="1370"/>
      <c r="AH17" s="2295"/>
      <c r="AI17" s="2296" t="s">
        <v>63</v>
      </c>
      <c r="AJ17" s="2295"/>
      <c r="AK17" s="2296" t="s">
        <v>63</v>
      </c>
      <c r="AS17" s="1164">
        <v>0</v>
      </c>
    </row>
    <row customHeight="1" ht="14.25" hidden="1">
      <c r="AD18" s="1369"/>
      <c r="AE18" s="1369"/>
      <c r="AF18" s="1369"/>
      <c r="AG18" s="337" t="str">
        <f>AH17&amp;"-"&amp;AJ17</f>
        <v>-</v>
      </c>
      <c r="AH18" s="2296"/>
      <c r="AI18" s="2296"/>
      <c r="AJ18" s="2296"/>
      <c r="AK18" s="2296"/>
      <c r="AS18" s="1164">
        <v>0</v>
      </c>
    </row>
    <row customHeight="1" ht="14.25" hidden="1">
      <c r="AK19" s="336"/>
      <c r="AS19" s="1164">
        <v>0</v>
      </c>
    </row>
    <row s="1375" customFormat="1" customHeight="1" ht="22.5" hidden="1">
      <c r="L20" s="1338"/>
      <c r="M20" s="1371"/>
      <c r="N20" s="1371"/>
      <c r="O20" s="1376" t="s">
        <v>432</v>
      </c>
      <c r="P20" s="1371"/>
      <c r="Q20" s="1380"/>
      <c r="R20" s="1380"/>
      <c r="S20" s="738"/>
      <c r="Z20" s="1376"/>
      <c r="AB20" s="1376"/>
      <c r="AC20" s="1375"/>
      <c r="AH20" s="1376"/>
      <c r="AJ20" s="1376"/>
      <c r="AK20" s="1375"/>
      <c r="AN20" s="520"/>
      <c r="AO20" s="520"/>
      <c r="AP20" s="520"/>
      <c r="AQ20" s="520"/>
      <c r="AR20" s="520"/>
      <c r="AS20" s="1169">
        <v>0</v>
      </c>
    </row>
    <row s="1375" customFormat="1" customHeight="1" ht="14.25" hidden="1">
      <c r="L21" s="1338"/>
      <c r="M21" s="1371"/>
      <c r="N21" s="1371"/>
      <c r="O21" s="1371"/>
      <c r="P21" s="1371"/>
      <c r="Q21" s="1380"/>
      <c r="R21" s="1380"/>
      <c r="S21" s="738"/>
      <c r="AC21" s="1375"/>
      <c r="AK21" s="1375"/>
      <c r="AN21" s="520"/>
      <c r="AO21" s="520"/>
      <c r="AP21" s="520"/>
      <c r="AQ21" s="520"/>
      <c r="AR21" s="520"/>
      <c r="AS21" s="1169">
        <v>0</v>
      </c>
    </row>
    <row s="1375" customFormat="1" customHeight="1" ht="14.25" hidden="1">
      <c r="L22" s="1338"/>
      <c r="M22" s="1371"/>
      <c r="N22" s="1371"/>
      <c r="O22" s="1373" t="s">
        <v>433</v>
      </c>
      <c r="P22" s="1371"/>
      <c r="Q22" s="1380"/>
      <c r="R22" s="1380"/>
      <c r="S22" s="738"/>
      <c r="T22" s="1169" t="s">
        <v>434</v>
      </c>
      <c r="AA22" s="195" t="s">
        <v>435</v>
      </c>
      <c r="AC22" s="195" t="s">
        <v>436</v>
      </c>
      <c r="AD22" s="1169" t="s">
        <v>434</v>
      </c>
      <c r="AI22" s="195" t="s">
        <v>437</v>
      </c>
      <c r="AK22" s="195" t="s">
        <v>436</v>
      </c>
      <c r="AN22" s="520"/>
      <c r="AO22" s="520"/>
      <c r="AP22" s="520"/>
      <c r="AQ22" s="520"/>
      <c r="AR22" s="520"/>
      <c r="AS22" s="1169">
        <v>0</v>
      </c>
    </row>
    <row customHeight="1" ht="14.25" hidden="1">
      <c r="O23" s="1373"/>
      <c r="AS23" s="1164">
        <v>0</v>
      </c>
    </row>
    <row customHeight="1" ht="14.25" hidden="1">
      <c r="O24" s="1373"/>
      <c r="AS24" s="1164">
        <v>0</v>
      </c>
    </row>
    <row customHeight="1" ht="14.699999999999998">
      <c r="Q25" s="385"/>
      <c r="R25" s="385"/>
      <c r="S25" s="1284"/>
      <c r="T25" s="372"/>
      <c r="U25" s="372"/>
      <c r="V25" s="518"/>
      <c r="W25" s="518"/>
      <c r="X25" s="518"/>
      <c r="Y25" s="518"/>
      <c r="Z25" s="518"/>
      <c r="AA25" s="518"/>
      <c r="AB25" s="518"/>
      <c r="AC25" s="518"/>
      <c r="AD25" s="518"/>
      <c r="AE25" s="518"/>
      <c r="AF25" s="518"/>
      <c r="AG25" s="518"/>
      <c r="AH25" s="518"/>
      <c r="AI25" s="518"/>
      <c r="AJ25" s="518"/>
      <c r="AK25" s="518"/>
      <c r="AS25" s="1164">
        <v>14</v>
      </c>
    </row>
    <row customHeight="1" ht="53.54999999999999">
      <c r="Q26" s="385"/>
      <c r="R26" s="385"/>
      <c r="S26" s="227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76"/>
      <c r="U26" s="2276"/>
      <c r="V26" s="2276"/>
      <c r="W26" s="2276"/>
      <c r="X26" s="2276"/>
      <c r="Y26" s="2276"/>
      <c r="Z26" s="2276"/>
      <c r="AA26" s="2276"/>
      <c r="AB26" s="2276"/>
      <c r="AC26" s="2276"/>
      <c r="AD26" s="2276"/>
      <c r="AE26" s="2276"/>
      <c r="AF26" s="2276"/>
      <c r="AG26" s="2276"/>
      <c r="AH26" s="2276"/>
      <c r="AI26" s="2276"/>
      <c r="AJ26" s="2276"/>
      <c r="AK26" s="1252"/>
      <c r="AS26" s="1164">
        <v>51</v>
      </c>
    </row>
    <row customHeight="1" ht="14.699999999999998">
      <c r="Q27" s="385"/>
      <c r="R27" s="385"/>
      <c r="S27" s="2277" t="str">
        <f>IF(org=0,"Не определено",org)</f>
        <v>АО "ДГК"</v>
      </c>
      <c r="T27" s="2277"/>
      <c r="U27" s="2277"/>
      <c r="V27" s="2277"/>
      <c r="W27" s="2277"/>
      <c r="X27" s="2277"/>
      <c r="Y27" s="2277"/>
      <c r="Z27" s="2277"/>
      <c r="AA27" s="2277"/>
      <c r="AB27" s="2277"/>
      <c r="AC27" s="2277"/>
      <c r="AD27" s="2277"/>
      <c r="AE27" s="2277"/>
      <c r="AF27" s="2277"/>
      <c r="AG27" s="2277"/>
      <c r="AH27" s="2277"/>
      <c r="AI27" s="2277"/>
      <c r="AJ27" s="2277"/>
      <c r="AK27" s="1252"/>
      <c r="AS27" s="1164">
        <v>14</v>
      </c>
    </row>
    <row customHeight="1" ht="14.25" hidden="1">
      <c r="Q28" s="385"/>
      <c r="R28" s="385"/>
      <c r="S28" s="1284"/>
      <c r="T28" s="372"/>
      <c r="U28" s="372"/>
      <c r="V28" s="331"/>
      <c r="W28" s="331"/>
      <c r="X28" s="331"/>
      <c r="Y28" s="331"/>
      <c r="Z28" s="331"/>
      <c r="AA28" s="331"/>
      <c r="AB28" s="331"/>
      <c r="AC28" s="331"/>
      <c r="AD28" s="331"/>
      <c r="AE28" s="331"/>
      <c r="AF28" s="331"/>
      <c r="AG28" s="331"/>
      <c r="AH28" s="331"/>
      <c r="AI28" s="331"/>
      <c r="AJ28" s="331"/>
      <c r="AK28" s="331"/>
      <c r="AL28" s="518"/>
      <c r="AS28" s="1164">
        <v>0</v>
      </c>
    </row>
    <row s="1859" customFormat="1" customHeight="1" ht="25.5" hidden="1">
      <c r="A29" s="1377"/>
      <c r="B29" s="1377"/>
      <c r="C29" s="1377"/>
      <c r="D29" s="1377"/>
      <c r="E29" s="1377"/>
      <c r="F29" s="1377"/>
      <c r="G29" s="1377"/>
      <c r="H29" s="1377"/>
      <c r="I29" s="1377"/>
      <c r="J29" s="1377"/>
      <c r="K29" s="1377"/>
      <c r="L29" s="1378"/>
      <c r="M29" s="1377"/>
      <c r="N29" s="1377"/>
      <c r="O29" s="1377"/>
      <c r="S29"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9" s="2278"/>
      <c r="U29" s="1381"/>
      <c r="V29" s="2279" t="str">
        <f>IF(TITLE_NAME_OR_PR_CHANGE="",IF(TITLE_NAME_OR_PR="","",TITLE_NAME_OR_PR),TITLE_NAME_OR_PR_CHANGE)</f>
        <v/>
      </c>
      <c r="W29" s="2279"/>
      <c r="X29" s="2279"/>
      <c r="Y29" s="2279"/>
      <c r="Z29" s="2279"/>
      <c r="AA29" s="2279"/>
      <c r="AB29" s="2279"/>
      <c r="AC29" s="335"/>
      <c r="AD29" s="2279" t="str">
        <f>IF(TITLE_NAME_OR_PR_CHANGE="",IF(TITLE_NAME_OR_PR="","",TITLE_NAME_OR_PR),TITLE_NAME_OR_PR_CHANGE)</f>
        <v/>
      </c>
      <c r="AE29" s="2279"/>
      <c r="AF29" s="2279"/>
      <c r="AG29" s="2279"/>
      <c r="AH29" s="2279"/>
      <c r="AI29" s="2279"/>
      <c r="AJ29" s="2279"/>
      <c r="AK29" s="335"/>
      <c r="AL29" s="335"/>
      <c r="AM29" s="289"/>
      <c r="AN29" s="377"/>
      <c r="AO29" s="377"/>
      <c r="AP29" s="377"/>
      <c r="AQ29" s="377"/>
      <c r="AR29" s="377"/>
      <c r="AS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tr">
        <f>"Дата документа об "&amp;IF(TITLE_DATE_PR_CHANGE="","утверждении","изменении")&amp;" тарифов"</f>
        <v>Дата документа об утверждении тарифов</v>
      </c>
      <c r="T30" s="2278"/>
      <c r="U30" s="1381"/>
      <c r="V30" s="2292" t="str">
        <f>IF(TITLE_DATE_PR_CHANGE="",IF(TITLE_DATE_PR="","",TITLE_DATE_PR),TITLE_DATE_PR_CHANGE)</f>
        <v/>
      </c>
      <c r="W30" s="2292"/>
      <c r="X30" s="2292"/>
      <c r="Y30" s="2292"/>
      <c r="Z30" s="2292"/>
      <c r="AA30" s="2292"/>
      <c r="AB30" s="2292"/>
      <c r="AC30" s="335"/>
      <c r="AD30" s="2292" t="str">
        <f>IF(TITLE_DATE_PR_CHANGE="",IF(TITLE_DATE_PR="","",TITLE_DATE_PR),TITLE_DATE_PR_CHANGE)</f>
        <v/>
      </c>
      <c r="AE30" s="2292"/>
      <c r="AF30" s="2292"/>
      <c r="AG30" s="2292"/>
      <c r="AH30" s="2292"/>
      <c r="AI30" s="2292"/>
      <c r="AJ30" s="2292"/>
      <c r="AK30" s="335"/>
      <c r="AL30" s="335"/>
      <c r="AM30" s="289"/>
      <c r="AN30" s="377"/>
      <c r="AO30" s="377"/>
      <c r="AP30" s="377"/>
      <c r="AQ30" s="377"/>
      <c r="AR30" s="377"/>
      <c r="AS30" s="427">
        <v>0</v>
      </c>
    </row>
    <row s="1859" customFormat="1" customHeight="1" ht="18.75" hidden="1">
      <c r="A31" s="1377"/>
      <c r="B31" s="1377"/>
      <c r="C31" s="1377"/>
      <c r="D31" s="1377"/>
      <c r="E31" s="1377"/>
      <c r="F31" s="1377"/>
      <c r="G31" s="1377"/>
      <c r="H31" s="1377"/>
      <c r="I31" s="1377"/>
      <c r="J31" s="1377"/>
      <c r="K31" s="1377"/>
      <c r="L31" s="1378"/>
      <c r="M31" s="1377"/>
      <c r="N31" s="1377"/>
      <c r="O31" s="1377"/>
      <c r="S31" s="2278" t="str">
        <f>"Номер документа об "&amp;IF(TITLE_DATE_PR_CHANGE="","утверждении","изменении")&amp;" тарифов"</f>
        <v>Номер документа об утверждении тарифов</v>
      </c>
      <c r="T31" s="2278"/>
      <c r="U31" s="1381"/>
      <c r="V31" s="2279" t="str">
        <f>IF(TITLE_NUMBER_PR_CHANGE="",IF(TITLE_NUMBER_PR="","",TITLE_NUMBER_PR),TITLE_NUMBER_PR_CHANGE)</f>
        <v/>
      </c>
      <c r="W31" s="2279"/>
      <c r="X31" s="2279"/>
      <c r="Y31" s="2279"/>
      <c r="Z31" s="2279"/>
      <c r="AA31" s="2279"/>
      <c r="AB31" s="2279"/>
      <c r="AC31" s="335"/>
      <c r="AD31" s="2279" t="str">
        <f>IF(TITLE_NUMBER_PR_CHANGE="",IF(TITLE_NUMBER_PR="","",TITLE_NUMBER_PR),TITLE_NUMBER_PR_CHANGE)</f>
        <v/>
      </c>
      <c r="AE31" s="2279"/>
      <c r="AF31" s="2279"/>
      <c r="AG31" s="2279"/>
      <c r="AH31" s="2279"/>
      <c r="AI31" s="2279"/>
      <c r="AJ31" s="2279"/>
      <c r="AK31" s="335"/>
      <c r="AL31" s="335"/>
      <c r="AM31" s="289"/>
      <c r="AN31" s="377"/>
      <c r="AO31" s="377"/>
      <c r="AP31" s="377"/>
      <c r="AQ31" s="377"/>
      <c r="AR31" s="377"/>
      <c r="AS31" s="427">
        <v>0</v>
      </c>
    </row>
    <row s="1859" customFormat="1" customHeight="1" ht="18.75" hidden="1">
      <c r="A32" s="1377"/>
      <c r="B32" s="1377"/>
      <c r="C32" s="1377"/>
      <c r="D32" s="1377"/>
      <c r="E32" s="1377"/>
      <c r="F32" s="1377"/>
      <c r="G32" s="1377"/>
      <c r="H32" s="1377"/>
      <c r="I32" s="1377"/>
      <c r="J32" s="1377"/>
      <c r="K32" s="1377"/>
      <c r="L32" s="1378"/>
      <c r="M32" s="1377"/>
      <c r="N32" s="1377"/>
      <c r="O32" s="1377"/>
      <c r="S32" s="2278" t="s">
        <v>43</v>
      </c>
      <c r="T32" s="2278"/>
      <c r="U32" s="1381"/>
      <c r="V32" s="2279" t="str">
        <f>IF(TITLE_IST_PUB_CHANGE="",IF(TITLE_IST_PUB="","",TITLE_IST_PUB),TITLE_IST_PUB_CHANGE)</f>
        <v/>
      </c>
      <c r="W32" s="2279"/>
      <c r="X32" s="2279"/>
      <c r="Y32" s="2279"/>
      <c r="Z32" s="2279"/>
      <c r="AA32" s="2279"/>
      <c r="AB32" s="2279"/>
      <c r="AC32" s="335"/>
      <c r="AD32" s="2279" t="str">
        <f>IF(TITLE_IST_PUB_CHANGE="",IF(TITLE_IST_PUB="","",TITLE_IST_PUB),TITLE_IST_PUB_CHANGE)</f>
        <v/>
      </c>
      <c r="AE32" s="2279"/>
      <c r="AF32" s="2279"/>
      <c r="AG32" s="2279"/>
      <c r="AH32" s="2279"/>
      <c r="AI32" s="2279"/>
      <c r="AJ32" s="2279"/>
      <c r="AK32" s="335"/>
      <c r="AL32" s="335"/>
      <c r="AM32" s="289"/>
      <c r="AN32" s="377"/>
      <c r="AO32" s="377"/>
      <c r="AP32" s="377"/>
      <c r="AQ32" s="377"/>
      <c r="AR32" s="377"/>
      <c r="AS32" s="427">
        <v>0</v>
      </c>
    </row>
    <row customHeight="1" ht="14.25" hidden="1">
      <c r="Q33" s="385"/>
      <c r="R33" s="385"/>
      <c r="S33" s="1284"/>
      <c r="T33" s="466"/>
      <c r="U33" s="372"/>
      <c r="V33" s="331"/>
      <c r="W33" s="331"/>
      <c r="X33" s="331"/>
      <c r="Y33" s="331"/>
      <c r="Z33" s="331"/>
      <c r="AA33" s="331"/>
      <c r="AB33" s="331"/>
      <c r="AC33" s="331"/>
      <c r="AD33" s="331"/>
      <c r="AE33" s="331"/>
      <c r="AF33" s="331"/>
      <c r="AG33" s="331"/>
      <c r="AH33" s="331"/>
      <c r="AI33" s="331"/>
      <c r="AJ33" s="331"/>
      <c r="AK33" s="331"/>
      <c r="AL33" s="518"/>
      <c r="AS33" s="1164">
        <v>0</v>
      </c>
    </row>
    <row s="1859" customFormat="1" customHeight="1" ht="18.75" hidden="1">
      <c r="A34" s="1377"/>
      <c r="B34" s="1377"/>
      <c r="C34" s="1377"/>
      <c r="D34" s="1377"/>
      <c r="E34" s="1377"/>
      <c r="F34" s="1377"/>
      <c r="G34" s="1377"/>
      <c r="H34" s="1377"/>
      <c r="I34" s="1377"/>
      <c r="J34" s="1377"/>
      <c r="K34" s="1377"/>
      <c r="L34" s="1378"/>
      <c r="M34" s="1377"/>
      <c r="N34" s="1377"/>
      <c r="O34" s="1377"/>
      <c r="S34" s="2278" t="str">
        <f>"Дата подачи заявления об "&amp;IF(TITLE_DATE_PR_CHANGE="","утверждении","изменении")&amp;" тарифов"</f>
        <v>Дата подачи заявления об утверждении тарифов</v>
      </c>
      <c r="T34" s="2278"/>
      <c r="U34" s="1381"/>
      <c r="V34" s="2292" t="str">
        <f>IF(TITLE_DATE_PR_CHANGE="",IF(TITLE_DATE_PR="","",TITLE_DATE_PR),TITLE_DATE_PR_CHANGE)</f>
        <v/>
      </c>
      <c r="W34" s="2292"/>
      <c r="X34" s="2292"/>
      <c r="Y34" s="2292"/>
      <c r="Z34" s="2292"/>
      <c r="AA34" s="2292"/>
      <c r="AB34" s="2292"/>
      <c r="AC34" s="335"/>
      <c r="AD34" s="2292" t="str">
        <f>IF(TITLE_DATE_PR_CHANGE="",IF(TITLE_DATE_PR="","",TITLE_DATE_PR),TITLE_DATE_PR_CHANGE)</f>
        <v/>
      </c>
      <c r="AE34" s="2292"/>
      <c r="AF34" s="2292"/>
      <c r="AG34" s="2292"/>
      <c r="AH34" s="2292"/>
      <c r="AI34" s="2292"/>
      <c r="AJ34" s="2292"/>
      <c r="AK34" s="335"/>
      <c r="AL34" s="335"/>
      <c r="AM34" s="289"/>
      <c r="AN34" s="377"/>
      <c r="AO34" s="377"/>
      <c r="AP34" s="377"/>
      <c r="AQ34" s="377"/>
      <c r="AR34" s="377"/>
      <c r="AS34" s="427">
        <v>0</v>
      </c>
    </row>
    <row s="1859" customFormat="1" customHeight="1" ht="25.5" hidden="1">
      <c r="A35" s="1377"/>
      <c r="B35" s="1377"/>
      <c r="C35" s="1377"/>
      <c r="D35" s="1377"/>
      <c r="E35" s="1377"/>
      <c r="F35" s="1377"/>
      <c r="G35" s="1377"/>
      <c r="H35" s="1377"/>
      <c r="I35" s="1377"/>
      <c r="J35" s="1377"/>
      <c r="K35" s="1377"/>
      <c r="L35" s="1378"/>
      <c r="M35" s="1377"/>
      <c r="N35" s="1377"/>
      <c r="O35" s="1377"/>
      <c r="S35" s="2278" t="str">
        <f>"Номер подачи заявления об "&amp;IF(TITLE_DATE_PR_CHANGE="","утверждении","изменении")&amp;" тарифов"</f>
        <v>Номер подачи заявления об утверждении тарифов</v>
      </c>
      <c r="T35" s="2278"/>
      <c r="U35" s="1381"/>
      <c r="V35" s="2279" t="str">
        <f>IF(TITLE_NUMBER_PR_CHANGE="",IF(TITLE_NUMBER_PR="","",TITLE_NUMBER_PR),TITLE_NUMBER_PR_CHANGE)</f>
        <v/>
      </c>
      <c r="W35" s="2279"/>
      <c r="X35" s="2279"/>
      <c r="Y35" s="2279"/>
      <c r="Z35" s="2279"/>
      <c r="AA35" s="2279"/>
      <c r="AB35" s="2279"/>
      <c r="AC35" s="335"/>
      <c r="AD35" s="2279" t="str">
        <f>IF(TITLE_NUMBER_PR_CHANGE="",IF(TITLE_NUMBER_PR="","",TITLE_NUMBER_PR),TITLE_NUMBER_PR_CHANGE)</f>
        <v/>
      </c>
      <c r="AE35" s="2279"/>
      <c r="AF35" s="2279"/>
      <c r="AG35" s="2279"/>
      <c r="AH35" s="2279"/>
      <c r="AI35" s="2279"/>
      <c r="AJ35" s="2279"/>
      <c r="AK35" s="335"/>
      <c r="AL35" s="335"/>
      <c r="AM35" s="289"/>
      <c r="AN35" s="377"/>
      <c r="AO35" s="377"/>
      <c r="AP35" s="377"/>
      <c r="AQ35" s="377"/>
      <c r="AR35" s="377"/>
      <c r="AS35" s="427">
        <v>0</v>
      </c>
    </row>
    <row s="1859" customFormat="1" customHeight="1" ht="0">
      <c r="A36" s="1377"/>
      <c r="B36" s="1377"/>
      <c r="C36" s="1377"/>
      <c r="D36" s="1377"/>
      <c r="E36" s="1377"/>
      <c r="F36" s="1377"/>
      <c r="G36" s="1377"/>
      <c r="H36" s="1377"/>
      <c r="I36" s="1377"/>
      <c r="J36" s="1377"/>
      <c r="K36" s="1377"/>
      <c r="L36" s="1378"/>
      <c r="M36" s="1377"/>
      <c r="N36" s="1377"/>
      <c r="O36" s="1377"/>
      <c r="S36" s="332"/>
      <c r="T36" s="332"/>
      <c r="U36" s="1349"/>
      <c r="V36" s="335"/>
      <c r="W36" s="335"/>
      <c r="X36" s="335"/>
      <c r="Y36" s="335"/>
      <c r="Z36" s="335"/>
      <c r="AA36" s="335"/>
      <c r="AB36" s="335"/>
      <c r="AC36" s="287" t="s">
        <v>438</v>
      </c>
      <c r="AD36" s="335"/>
      <c r="AE36" s="335"/>
      <c r="AF36" s="335"/>
      <c r="AG36" s="335"/>
      <c r="AH36" s="335"/>
      <c r="AI36" s="335"/>
      <c r="AJ36" s="335"/>
      <c r="AK36" s="287" t="s">
        <v>438</v>
      </c>
      <c r="AN36" s="377"/>
      <c r="AO36" s="377"/>
      <c r="AP36" s="377"/>
      <c r="AQ36" s="377"/>
      <c r="AR36" s="377"/>
      <c r="AS36" s="427">
        <v>0</v>
      </c>
    </row>
    <row customHeight="1" ht="14.699999999999998">
      <c r="Q37" s="385"/>
      <c r="R37" s="385"/>
      <c r="S37" s="1284"/>
      <c r="T37" s="372"/>
      <c r="U37" s="1253"/>
      <c r="V37" s="2280"/>
      <c r="W37" s="2280"/>
      <c r="X37" s="2280"/>
      <c r="Y37" s="2280"/>
      <c r="Z37" s="2280"/>
      <c r="AA37" s="2280"/>
      <c r="AB37" s="2280"/>
      <c r="AC37" s="2280"/>
      <c r="AD37" s="2280"/>
      <c r="AE37" s="2280"/>
      <c r="AF37" s="2280"/>
      <c r="AG37" s="2280"/>
      <c r="AH37" s="2280"/>
      <c r="AI37" s="2280"/>
      <c r="AJ37" s="2280"/>
      <c r="AK37" s="2280"/>
      <c r="AS37" s="1164">
        <v>14</v>
      </c>
    </row>
    <row customHeight="1" ht="14.699999999999998">
      <c r="Q38" s="385"/>
      <c r="R38" s="385"/>
      <c r="S38" s="2155" t="s">
        <v>315</v>
      </c>
      <c r="T38" s="2155"/>
      <c r="U38" s="2155"/>
      <c r="V38" s="2155"/>
      <c r="W38" s="2155"/>
      <c r="X38" s="2155"/>
      <c r="Y38" s="2155"/>
      <c r="Z38" s="2155"/>
      <c r="AA38" s="2155"/>
      <c r="AB38" s="2155"/>
      <c r="AC38" s="2155"/>
      <c r="AD38" s="2155"/>
      <c r="AE38" s="2155"/>
      <c r="AF38" s="2155"/>
      <c r="AG38" s="2155"/>
      <c r="AH38" s="2155"/>
      <c r="AI38" s="2155"/>
      <c r="AJ38" s="2155"/>
      <c r="AK38" s="2155"/>
      <c r="AL38" s="2155"/>
      <c r="AM38" s="2155" t="s">
        <v>316</v>
      </c>
      <c r="AS38" s="1164">
        <v>14</v>
      </c>
    </row>
    <row customHeight="1" ht="14.699999999999998">
      <c r="Q39" s="385"/>
      <c r="R39" s="385"/>
      <c r="S39" s="2301" t="s">
        <v>89</v>
      </c>
      <c r="T39" s="2237" t="s">
        <v>439</v>
      </c>
      <c r="U39" s="310"/>
      <c r="V39" s="2302" t="s">
        <v>440</v>
      </c>
      <c r="W39" s="2303"/>
      <c r="X39" s="2303"/>
      <c r="Y39" s="2303"/>
      <c r="Z39" s="2303"/>
      <c r="AA39" s="2303"/>
      <c r="AB39" s="2304"/>
      <c r="AC39" s="2305" t="s">
        <v>441</v>
      </c>
      <c r="AD39" s="2302" t="s">
        <v>440</v>
      </c>
      <c r="AE39" s="2303"/>
      <c r="AF39" s="2303"/>
      <c r="AG39" s="2303"/>
      <c r="AH39" s="2303"/>
      <c r="AI39" s="2303"/>
      <c r="AJ39" s="2304"/>
      <c r="AK39" s="2305" t="s">
        <v>442</v>
      </c>
      <c r="AL39" s="2308" t="s">
        <v>443</v>
      </c>
      <c r="AM39" s="2155"/>
      <c r="AS39" s="1164">
        <v>14</v>
      </c>
    </row>
    <row customHeight="1" ht="35.699999999999996">
      <c r="Q40" s="385"/>
      <c r="R40" s="385"/>
      <c r="S40" s="2301"/>
      <c r="T40" s="2237"/>
      <c r="U40" s="1040"/>
      <c r="V40" s="2288" t="s">
        <v>444</v>
      </c>
      <c r="W40" s="2311"/>
      <c r="X40" s="2290" t="s">
        <v>446</v>
      </c>
      <c r="Y40" s="2291"/>
      <c r="Z40" s="2290" t="s">
        <v>447</v>
      </c>
      <c r="AA40" s="2297"/>
      <c r="AB40" s="2291"/>
      <c r="AC40" s="2306"/>
      <c r="AD40" s="2288" t="s">
        <v>461</v>
      </c>
      <c r="AE40" s="2311"/>
      <c r="AF40" s="2290" t="s">
        <v>446</v>
      </c>
      <c r="AG40" s="2291"/>
      <c r="AH40" s="2290" t="s">
        <v>447</v>
      </c>
      <c r="AI40" s="2297"/>
      <c r="AJ40" s="2291"/>
      <c r="AK40" s="2306"/>
      <c r="AL40" s="2309"/>
      <c r="AM40" s="2155"/>
      <c r="AS40" s="1164">
        <v>34</v>
      </c>
    </row>
    <row customHeight="1" ht="35.699999999999996">
      <c r="A41" s="1379"/>
      <c r="B41" s="1379" t="s">
        <v>152</v>
      </c>
      <c r="C41" s="1379" t="s">
        <v>153</v>
      </c>
      <c r="D41" s="1379" t="s">
        <v>154</v>
      </c>
      <c r="E41" s="1373" t="s">
        <v>448</v>
      </c>
      <c r="F41" s="1373" t="s">
        <v>449</v>
      </c>
      <c r="G41" s="1373" t="s">
        <v>450</v>
      </c>
      <c r="H41" s="1373" t="s">
        <v>451</v>
      </c>
      <c r="I41" s="1373" t="s">
        <v>452</v>
      </c>
      <c r="J41" s="1373" t="s">
        <v>453</v>
      </c>
      <c r="K41" s="1373" t="s">
        <v>454</v>
      </c>
      <c r="L41" s="1373" t="s">
        <v>433</v>
      </c>
      <c r="Q41" s="385"/>
      <c r="R41" s="385"/>
      <c r="S41" s="2301"/>
      <c r="T41" s="2237"/>
      <c r="U41" s="311"/>
      <c r="V41" s="2289"/>
      <c r="W41" s="2312"/>
      <c r="X41" s="1231" t="s">
        <v>455</v>
      </c>
      <c r="Y41" s="1231" t="s">
        <v>456</v>
      </c>
      <c r="Z41" s="1347" t="s">
        <v>457</v>
      </c>
      <c r="AA41" s="2298" t="s">
        <v>458</v>
      </c>
      <c r="AB41" s="2299"/>
      <c r="AC41" s="2307"/>
      <c r="AD41" s="2289"/>
      <c r="AE41" s="2312"/>
      <c r="AF41" s="1231" t="s">
        <v>455</v>
      </c>
      <c r="AG41" s="1231" t="s">
        <v>456</v>
      </c>
      <c r="AH41" s="1347" t="s">
        <v>457</v>
      </c>
      <c r="AI41" s="2298" t="s">
        <v>458</v>
      </c>
      <c r="AJ41" s="2299"/>
      <c r="AK41" s="2307"/>
      <c r="AL41" s="2310"/>
      <c r="AM41" s="2155"/>
      <c r="AS41" s="1164">
        <v>34</v>
      </c>
    </row>
    <row s="1650" customFormat="1" customHeight="1" ht="11.25" hidden="1">
      <c r="A42" s="1379"/>
      <c r="B42" s="1379"/>
      <c r="C42" s="1379"/>
      <c r="D42" s="1379"/>
      <c r="E42" s="1379"/>
      <c r="F42" s="1379"/>
      <c r="G42" s="1379"/>
      <c r="H42" s="1379"/>
      <c r="I42" s="1379"/>
      <c r="J42" s="1379"/>
      <c r="K42" s="1379"/>
      <c r="L42" s="1373"/>
      <c r="M42" s="1371"/>
      <c r="N42" s="1371"/>
      <c r="O42" s="1371"/>
      <c r="P42" s="1255"/>
      <c r="Q42" s="1256"/>
      <c r="R42" s="1263">
        <v>1</v>
      </c>
      <c r="S42" s="1286" t="s">
        <v>118</v>
      </c>
      <c r="T42" s="1264" t="s">
        <v>103</v>
      </c>
      <c r="U42" s="1254" t="str">
        <f>OFFSET(U42,0,-1)</f>
        <v>2</v>
      </c>
      <c r="V42" s="1344">
        <f>OFFSET(V42,0,-1)+1</f>
        <v>3</v>
      </c>
      <c r="W42" s="1344"/>
      <c r="X42" s="1344">
        <f>OFFSET(X42,0,-1)+1</f>
        <v>1</v>
      </c>
      <c r="Y42" s="1344">
        <f>OFFSET(Y42,0,-1)+1</f>
        <v>2</v>
      </c>
      <c r="Z42" s="1344">
        <f>OFFSET(Z42,0,-1)+1</f>
        <v>3</v>
      </c>
      <c r="AA42" s="2300">
        <f>OFFSET(AA42,0,-1)+1</f>
        <v>4</v>
      </c>
      <c r="AB42" s="2300"/>
      <c r="AC42" s="1344">
        <f>OFFSET(AC42,0,-2)+1</f>
        <v>5</v>
      </c>
      <c r="AD42" s="1344">
        <f>OFFSET(AD42,0,-1)+1</f>
        <v>6</v>
      </c>
      <c r="AE42" s="1344"/>
      <c r="AF42" s="1344">
        <f>OFFSET(AF42,0,-1)+1</f>
        <v>1</v>
      </c>
      <c r="AG42" s="1344">
        <f>OFFSET(AG42,0,-1)+1</f>
        <v>2</v>
      </c>
      <c r="AH42" s="1344">
        <f>OFFSET(AH42,0,-1)+1</f>
        <v>3</v>
      </c>
      <c r="AI42" s="2300">
        <f>OFFSET(AI42,0,-1)+1</f>
        <v>4</v>
      </c>
      <c r="AJ42" s="2300"/>
      <c r="AK42" s="1344">
        <f>OFFSET(AK42,0,-2)+1</f>
        <v>5</v>
      </c>
      <c r="AL42" s="1254">
        <f>OFFSET(AL42,0,-1)</f>
        <v>5</v>
      </c>
      <c r="AM42" s="1344">
        <f>OFFSET(AM42,0,-1)+1</f>
        <v>6</v>
      </c>
      <c r="AN42" s="520"/>
      <c r="AO42" s="520"/>
      <c r="AP42" s="520"/>
      <c r="AQ42" s="520"/>
      <c r="AR42" s="520"/>
      <c r="AS42" s="505">
        <v>0</v>
      </c>
    </row>
    <row customHeight="1" ht="22.049999999999997">
      <c r="A43" s="1372" t="s">
        <v>203</v>
      </c>
      <c r="B43" s="1372"/>
      <c r="C43" s="1372"/>
      <c r="D43" s="1372"/>
      <c r="E43" s="2286">
        <v>1</v>
      </c>
      <c r="F43" s="1372"/>
      <c r="G43" s="1372"/>
      <c r="H43" s="1372"/>
      <c r="I43" s="1372"/>
      <c r="J43" s="1372"/>
      <c r="K43" s="1372"/>
      <c r="L43" s="1373"/>
      <c r="M43" s="1374"/>
      <c r="N43" s="1374"/>
      <c r="O43" s="1374"/>
      <c r="P43" s="370"/>
      <c r="Q43" s="369"/>
      <c r="R43" s="364"/>
      <c r="S43" s="1345">
        <f>INDEX(PT_DIFFERENTIATION_NUM_NTAR,MATCH(A43,PT_DIFFERENTIATION_NTAR_ID,0))</f>
        <v>0</v>
      </c>
      <c r="T43" s="307" t="s">
        <v>140</v>
      </c>
      <c r="U43" s="309"/>
      <c r="V43" s="2270"/>
      <c r="W43" s="2271"/>
      <c r="X43" s="2271"/>
      <c r="Y43" s="2271"/>
      <c r="Z43" s="2271"/>
      <c r="AA43" s="2271"/>
      <c r="AB43" s="2271"/>
      <c r="AC43" s="2272"/>
      <c r="AD43" s="2270" t="str">
        <f>INDEX(PT_DIFFERENTIATION_NTAR,MATCH(A43,PT_DIFFERENTIATION_NTAR_ID,0))</f>
        <v/>
      </c>
      <c r="AE43" s="2271"/>
      <c r="AF43" s="2271"/>
      <c r="AG43" s="2271"/>
      <c r="AH43" s="2271"/>
      <c r="AI43" s="2271"/>
      <c r="AJ43" s="2271"/>
      <c r="AK43" s="2271"/>
      <c r="AL43" s="2272"/>
      <c r="AM43" s="126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9"/>
      <c r="AP43" s="509" t="str">
        <f>IF(T43="","",T43)</f>
        <v>Наименование тарифа</v>
      </c>
      <c r="AQ43" s="509"/>
      <c r="AR43" s="509"/>
      <c r="AS43" s="1164">
        <v>21</v>
      </c>
    </row>
    <row customHeight="1" ht="22.049999999999997">
      <c r="A44" s="1372" t="s">
        <v>203</v>
      </c>
      <c r="B44" s="1372" t="s">
        <v>204</v>
      </c>
      <c r="C44" s="1372"/>
      <c r="D44" s="1372"/>
      <c r="E44" s="2287"/>
      <c r="F44" s="2286">
        <v>1</v>
      </c>
      <c r="G44" s="1372"/>
      <c r="H44" s="1372"/>
      <c r="I44" s="1372"/>
      <c r="J44" s="1372"/>
      <c r="K44" s="1372"/>
      <c r="L44" s="1373"/>
      <c r="M44" s="1374"/>
      <c r="N44" s="1374"/>
      <c r="O44" s="1374"/>
      <c r="P44" s="1341"/>
      <c r="Q44" s="361"/>
      <c r="R44" s="362"/>
      <c r="S44" s="1345" t="str">
        <f>INDEX(PT_DIFFERENTIATION_NUM_TER,MATCH(B44,PT_DIFFERENTIATION_TER_ID,0))</f>
        <v>.</v>
      </c>
      <c r="T44" s="317" t="s">
        <v>412</v>
      </c>
      <c r="U44" s="309"/>
      <c r="V44" s="2270"/>
      <c r="W44" s="2271"/>
      <c r="X44" s="2271"/>
      <c r="Y44" s="2271"/>
      <c r="Z44" s="2271"/>
      <c r="AA44" s="2271"/>
      <c r="AB44" s="2271"/>
      <c r="AC44" s="2272"/>
      <c r="AD44" s="2270" t="str">
        <f>INDEX(PT_DIFFERENTIATION_TER,MATCH(B44,PT_DIFFERENTIATION_TER_ID,0))</f>
        <v/>
      </c>
      <c r="AE44" s="2271"/>
      <c r="AF44" s="2271"/>
      <c r="AG44" s="2271"/>
      <c r="AH44" s="2271"/>
      <c r="AI44" s="2271"/>
      <c r="AJ44" s="2271"/>
      <c r="AK44" s="2271"/>
      <c r="AL44" s="2272"/>
      <c r="AM44" s="1267" t="s">
        <v>413</v>
      </c>
      <c r="AO44" s="509"/>
      <c r="AP44" s="509" t="str">
        <f>IF(T44="","",T44)</f>
        <v>Территория действия тарифа</v>
      </c>
      <c r="AQ44" s="509"/>
      <c r="AR44" s="509"/>
      <c r="AS44" s="1164">
        <v>21</v>
      </c>
    </row>
    <row customHeight="1" ht="24">
      <c r="A45" s="1372" t="s">
        <v>203</v>
      </c>
      <c r="B45" s="1372" t="s">
        <v>204</v>
      </c>
      <c r="C45" s="1372" t="s">
        <v>205</v>
      </c>
      <c r="D45" s="1372"/>
      <c r="E45" s="2287"/>
      <c r="F45" s="2287"/>
      <c r="G45" s="2286">
        <v>1</v>
      </c>
      <c r="H45" s="1372"/>
      <c r="I45" s="1372"/>
      <c r="J45" s="1372"/>
      <c r="K45" s="1372"/>
      <c r="L45" s="1373"/>
      <c r="M45" s="1374"/>
      <c r="N45" s="1374"/>
      <c r="O45" s="1374"/>
      <c r="P45" s="363"/>
      <c r="Q45" s="361"/>
      <c r="R45" s="362"/>
      <c r="S45" s="1345" t="str">
        <f>INDEX(PT_DIFFERENTIATION_NUM_CS,MATCH(C45,PT_DIFFERENTIATION_CS_ID,0))</f>
        <v>..</v>
      </c>
      <c r="T45" s="318" t="s">
        <v>414</v>
      </c>
      <c r="U45" s="309"/>
      <c r="V45" s="2270"/>
      <c r="W45" s="2271"/>
      <c r="X45" s="2271"/>
      <c r="Y45" s="2271"/>
      <c r="Z45" s="2271"/>
      <c r="AA45" s="2271"/>
      <c r="AB45" s="2271"/>
      <c r="AC45" s="2272"/>
      <c r="AD45" s="2270" t="str">
        <f>INDEX(PT_DIFFERENTIATION_CS,MATCH(C45,PT_DIFFERENTIATION_CS_ID,0))</f>
        <v/>
      </c>
      <c r="AE45" s="2271"/>
      <c r="AF45" s="2271"/>
      <c r="AG45" s="2271"/>
      <c r="AH45" s="2271"/>
      <c r="AI45" s="2271"/>
      <c r="AJ45" s="2271"/>
      <c r="AK45" s="2271"/>
      <c r="AL45" s="2272"/>
      <c r="AM45" s="1267" t="s">
        <v>415</v>
      </c>
      <c r="AO45" s="509"/>
      <c r="AP45" s="509" t="str">
        <f>IF(T45="","",T45)</f>
        <v>Наименование системы теплоснабжения </v>
      </c>
      <c r="AQ45" s="509"/>
      <c r="AR45" s="509"/>
      <c r="AS45" s="1164">
        <v>23</v>
      </c>
    </row>
    <row customHeight="1" ht="22.049999999999997">
      <c r="A46" s="1372" t="s">
        <v>203</v>
      </c>
      <c r="B46" s="1372" t="s">
        <v>204</v>
      </c>
      <c r="C46" s="1372" t="s">
        <v>205</v>
      </c>
      <c r="D46" s="1372" t="s">
        <v>206</v>
      </c>
      <c r="E46" s="2287"/>
      <c r="F46" s="2287"/>
      <c r="G46" s="2287"/>
      <c r="H46" s="2286">
        <v>1</v>
      </c>
      <c r="I46" s="1372"/>
      <c r="J46" s="1372"/>
      <c r="K46" s="1372"/>
      <c r="L46" s="1373"/>
      <c r="M46" s="1374"/>
      <c r="N46" s="1374"/>
      <c r="O46" s="1374"/>
      <c r="P46" s="363"/>
      <c r="Q46" s="361"/>
      <c r="R46" s="362"/>
      <c r="S46" s="1345" t="str">
        <f>INDEX(PT_DIFFERENTIATION_NUM_IST_TE,MATCH(D46,PT_DIFFERENTIATION_IST_TE_ID,0))</f>
        <v>...</v>
      </c>
      <c r="T46" s="319" t="s">
        <v>416</v>
      </c>
      <c r="U46" s="309"/>
      <c r="V46" s="2270"/>
      <c r="W46" s="2271"/>
      <c r="X46" s="2271"/>
      <c r="Y46" s="2271"/>
      <c r="Z46" s="2271"/>
      <c r="AA46" s="2271"/>
      <c r="AB46" s="2271"/>
      <c r="AC46" s="2272"/>
      <c r="AD46" s="2270" t="str">
        <f>INDEX(PT_DIFFERENTIATION_IST_TE,MATCH(D46,PT_DIFFERENTIATION_IST_TE_ID,0))</f>
        <v/>
      </c>
      <c r="AE46" s="2271"/>
      <c r="AF46" s="2271"/>
      <c r="AG46" s="2271"/>
      <c r="AH46" s="2271"/>
      <c r="AI46" s="2271"/>
      <c r="AJ46" s="2271"/>
      <c r="AK46" s="2271"/>
      <c r="AL46" s="2272"/>
      <c r="AM46" s="1267" t="s">
        <v>417</v>
      </c>
      <c r="AO46" s="509"/>
      <c r="AP46" s="509" t="str">
        <f>IF(T46="","",T46)</f>
        <v>Источник тепловой энергии  </v>
      </c>
      <c r="AQ46" s="509"/>
      <c r="AR46" s="509"/>
      <c r="AS46" s="1164">
        <v>21</v>
      </c>
    </row>
    <row s="1651" customFormat="1" customHeight="1" ht="0">
      <c r="A47" s="1352" t="s">
        <v>203</v>
      </c>
      <c r="B47" s="1352" t="s">
        <v>204</v>
      </c>
      <c r="C47" s="1352" t="s">
        <v>205</v>
      </c>
      <c r="D47" s="1352" t="s">
        <v>206</v>
      </c>
      <c r="E47" s="2287"/>
      <c r="F47" s="2287"/>
      <c r="G47" s="2287"/>
      <c r="H47" s="2287"/>
      <c r="I47" s="2284" t="str">
        <f>S46&amp;".1"</f>
        <v>....1</v>
      </c>
      <c r="J47" s="1352"/>
      <c r="K47" s="1352"/>
      <c r="L47" s="1355" t="s">
        <v>418</v>
      </c>
      <c r="M47" s="519"/>
      <c r="N47" s="519"/>
      <c r="O47" s="519"/>
      <c r="P47" s="2285">
        <v>1</v>
      </c>
      <c r="Q47" s="1340"/>
      <c r="R47" s="365"/>
      <c r="S47" s="1051"/>
      <c r="T47" s="1392"/>
      <c r="U47" s="1393"/>
      <c r="V47" s="2324"/>
      <c r="W47" s="2325"/>
      <c r="X47" s="2325"/>
      <c r="Y47" s="2325"/>
      <c r="Z47" s="2325"/>
      <c r="AA47" s="2325"/>
      <c r="AB47" s="2325"/>
      <c r="AC47" s="2326"/>
      <c r="AD47" s="2324"/>
      <c r="AE47" s="2325"/>
      <c r="AF47" s="2325"/>
      <c r="AG47" s="2325"/>
      <c r="AH47" s="2325"/>
      <c r="AI47" s="2325"/>
      <c r="AJ47" s="2325"/>
      <c r="AK47" s="2325"/>
      <c r="AL47" s="2326"/>
      <c r="AM47" s="1394"/>
      <c r="AO47" s="509"/>
      <c r="AP47" s="509" t="str">
        <f>IF(T47="","",T47)</f>
        <v/>
      </c>
      <c r="AQ47" s="509"/>
      <c r="AR47" s="509"/>
      <c r="AS47" s="520">
        <v>0</v>
      </c>
    </row>
    <row customHeight="1" ht="22.049999999999997">
      <c r="A48" s="1372" t="s">
        <v>203</v>
      </c>
      <c r="B48" s="1372" t="s">
        <v>204</v>
      </c>
      <c r="C48" s="1372" t="s">
        <v>205</v>
      </c>
      <c r="D48" s="1372" t="s">
        <v>206</v>
      </c>
      <c r="E48" s="2287"/>
      <c r="F48" s="2287"/>
      <c r="G48" s="2287"/>
      <c r="H48" s="2287"/>
      <c r="I48" s="2314"/>
      <c r="J48" s="2284" t="str">
        <f>S46&amp;".1"</f>
        <v>....1</v>
      </c>
      <c r="K48" s="1372"/>
      <c r="L48" s="1373" t="s">
        <v>421</v>
      </c>
      <c r="P48" s="2285"/>
      <c r="Q48" s="2285">
        <v>1</v>
      </c>
      <c r="R48" s="366"/>
      <c r="S48" s="1345" t="str">
        <f>$J48</f>
        <v>....1</v>
      </c>
      <c r="T48" s="295" t="s">
        <v>422</v>
      </c>
      <c r="U48" s="309"/>
      <c r="V48" s="2273"/>
      <c r="W48" s="2274"/>
      <c r="X48" s="2274"/>
      <c r="Y48" s="2274"/>
      <c r="Z48" s="2274"/>
      <c r="AA48" s="2274"/>
      <c r="AB48" s="2274"/>
      <c r="AC48" s="2275"/>
      <c r="AD48" s="2273"/>
      <c r="AE48" s="2274"/>
      <c r="AF48" s="2274"/>
      <c r="AG48" s="2274"/>
      <c r="AH48" s="2274"/>
      <c r="AI48" s="2274"/>
      <c r="AJ48" s="2274"/>
      <c r="AK48" s="2274"/>
      <c r="AL48" s="2275"/>
      <c r="AM48" s="1267" t="s">
        <v>423</v>
      </c>
      <c r="AO48" s="509"/>
      <c r="AP48" s="509" t="str">
        <f>IF(T48="","",T48)</f>
        <v>Группа потребителей</v>
      </c>
      <c r="AQ48" s="509"/>
      <c r="AR48" s="509"/>
      <c r="AS48" s="1164">
        <v>21</v>
      </c>
    </row>
    <row customHeight="1" ht="22.049999999999997">
      <c r="A49" s="1372" t="s">
        <v>203</v>
      </c>
      <c r="B49" s="1372" t="s">
        <v>204</v>
      </c>
      <c r="C49" s="1372" t="s">
        <v>205</v>
      </c>
      <c r="D49" s="1372" t="s">
        <v>206</v>
      </c>
      <c r="E49" s="2287"/>
      <c r="F49" s="2287"/>
      <c r="G49" s="2287"/>
      <c r="H49" s="2287"/>
      <c r="I49" s="2314"/>
      <c r="J49" s="2314"/>
      <c r="K49" s="2284" t="str">
        <f>J48&amp;".1"</f>
        <v>....1.1</v>
      </c>
      <c r="L49" s="1373" t="s">
        <v>424</v>
      </c>
      <c r="P49" s="2285"/>
      <c r="Q49" s="2285"/>
      <c r="R49" s="366">
        <v>1</v>
      </c>
      <c r="S49" s="1345" t="str">
        <f>$K49</f>
        <v>....1.1</v>
      </c>
      <c r="T49" s="1356"/>
      <c r="U49" s="309"/>
      <c r="V49" s="760"/>
      <c r="W49" s="334"/>
      <c r="X49" s="760"/>
      <c r="Y49" s="1266"/>
      <c r="Z49" s="2293"/>
      <c r="AA49" s="2135" t="s">
        <v>63</v>
      </c>
      <c r="AB49" s="2293"/>
      <c r="AC49" s="2135" t="s">
        <v>63</v>
      </c>
      <c r="AD49" s="760"/>
      <c r="AE49" s="334"/>
      <c r="AF49" s="760"/>
      <c r="AG49" s="1266"/>
      <c r="AH49" s="2293"/>
      <c r="AI49" s="2135" t="s">
        <v>63</v>
      </c>
      <c r="AJ49" s="2315"/>
      <c r="AK49" s="2135" t="s">
        <v>63</v>
      </c>
      <c r="AL49" s="1357"/>
      <c r="AM49" s="2281" t="s">
        <v>462</v>
      </c>
      <c r="AN49" s="520">
        <f>STRCHECKDATE(V50:AL50)</f>
      </c>
      <c r="AO49" s="509"/>
      <c r="AP49" s="509" t="str">
        <f>IF(T49="","",T49)</f>
        <v/>
      </c>
      <c r="AQ49" s="509"/>
      <c r="AR49" s="509"/>
      <c r="AS49" s="1164">
        <v>21</v>
      </c>
    </row>
    <row customHeight="1" ht="0">
      <c r="A50" s="1372" t="s">
        <v>203</v>
      </c>
      <c r="B50" s="1372" t="s">
        <v>204</v>
      </c>
      <c r="C50" s="1372" t="s">
        <v>205</v>
      </c>
      <c r="D50" s="1372" t="s">
        <v>206</v>
      </c>
      <c r="E50" s="2287"/>
      <c r="F50" s="2287"/>
      <c r="G50" s="2287"/>
      <c r="H50" s="2287"/>
      <c r="I50" s="2314"/>
      <c r="J50" s="2314"/>
      <c r="K50" s="2284"/>
      <c r="L50" s="1373"/>
      <c r="P50" s="2285"/>
      <c r="Q50" s="2285"/>
      <c r="R50" s="366"/>
      <c r="S50" s="1351"/>
      <c r="T50" s="309"/>
      <c r="U50" s="309"/>
      <c r="V50" s="334"/>
      <c r="W50" s="334"/>
      <c r="X50" s="334"/>
      <c r="Y50" s="337" t="str">
        <f>Z49&amp;"-"&amp;AB49</f>
        <v>-</v>
      </c>
      <c r="Z50" s="2294"/>
      <c r="AA50" s="2135"/>
      <c r="AB50" s="2294"/>
      <c r="AC50" s="2135"/>
      <c r="AD50" s="334"/>
      <c r="AE50" s="334"/>
      <c r="AF50" s="334"/>
      <c r="AG50" s="337" t="str">
        <f>AH49&amp;"-"&amp;AJ49</f>
        <v>-</v>
      </c>
      <c r="AH50" s="2294"/>
      <c r="AI50" s="2135"/>
      <c r="AJ50" s="2316"/>
      <c r="AK50" s="2135"/>
      <c r="AL50" s="1358"/>
      <c r="AM50" s="2282"/>
      <c r="AO50" s="509"/>
      <c r="AP50" s="509" t="str">
        <f>IF(T50="","",T50)</f>
        <v/>
      </c>
      <c r="AQ50" s="509"/>
      <c r="AR50" s="509"/>
      <c r="AS50" s="1164">
        <v>0</v>
      </c>
    </row>
    <row customHeight="1" ht="11.549999999999999">
      <c r="A51" s="1372" t="s">
        <v>203</v>
      </c>
      <c r="B51" s="1372" t="s">
        <v>204</v>
      </c>
      <c r="C51" s="1372" t="s">
        <v>205</v>
      </c>
      <c r="D51" s="1372" t="s">
        <v>206</v>
      </c>
      <c r="E51" s="2287"/>
      <c r="F51" s="2287"/>
      <c r="G51" s="2287"/>
      <c r="H51" s="2287"/>
      <c r="I51" s="2314"/>
      <c r="J51" s="2284"/>
      <c r="K51" s="1372"/>
      <c r="L51" s="1373"/>
      <c r="P51" s="2285"/>
      <c r="Q51" s="2285"/>
      <c r="R51" s="365"/>
      <c r="S51" s="1287"/>
      <c r="T51" s="296" t="s">
        <v>426</v>
      </c>
      <c r="U51" s="376"/>
      <c r="V51" s="376"/>
      <c r="W51" s="376"/>
      <c r="X51" s="376"/>
      <c r="Y51" s="376"/>
      <c r="Z51" s="376"/>
      <c r="AA51" s="376"/>
      <c r="AB51" s="376"/>
      <c r="AC51" s="376"/>
      <c r="AD51" s="376"/>
      <c r="AE51" s="376"/>
      <c r="AF51" s="376"/>
      <c r="AG51" s="376"/>
      <c r="AH51" s="376"/>
      <c r="AI51" s="376"/>
      <c r="AJ51" s="376"/>
      <c r="AK51" s="376"/>
      <c r="AL51" s="333"/>
      <c r="AM51" s="2283"/>
      <c r="AO51" s="509"/>
      <c r="AP51" s="509" t="str">
        <f>IF(T51="","",T51)</f>
        <v>Добавить вид теплоносителя (параметры теплоносителя)</v>
      </c>
      <c r="AQ51" s="509"/>
      <c r="AR51" s="509"/>
      <c r="AS51" s="1164">
        <v>11</v>
      </c>
    </row>
    <row customHeight="1" ht="11.549999999999999">
      <c r="A52" s="1372" t="s">
        <v>203</v>
      </c>
      <c r="B52" s="1372" t="s">
        <v>204</v>
      </c>
      <c r="C52" s="1372" t="s">
        <v>205</v>
      </c>
      <c r="D52" s="1372" t="s">
        <v>206</v>
      </c>
      <c r="E52" s="2287"/>
      <c r="F52" s="2287"/>
      <c r="G52" s="2287"/>
      <c r="H52" s="2287"/>
      <c r="I52" s="2284"/>
      <c r="J52" s="1372"/>
      <c r="K52" s="1372"/>
      <c r="L52" s="1373"/>
      <c r="P52" s="2285"/>
      <c r="Q52" s="1340"/>
      <c r="R52" s="365"/>
      <c r="S52" s="1287"/>
      <c r="T52" s="374" t="s">
        <v>427</v>
      </c>
      <c r="U52" s="376"/>
      <c r="V52" s="376"/>
      <c r="W52" s="376"/>
      <c r="X52" s="376"/>
      <c r="Y52" s="376"/>
      <c r="Z52" s="376"/>
      <c r="AA52" s="376"/>
      <c r="AB52" s="376"/>
      <c r="AC52" s="375"/>
      <c r="AD52" s="376"/>
      <c r="AE52" s="376"/>
      <c r="AF52" s="376"/>
      <c r="AG52" s="376"/>
      <c r="AH52" s="376"/>
      <c r="AI52" s="376"/>
      <c r="AJ52" s="376"/>
      <c r="AK52" s="375"/>
      <c r="AL52" s="376"/>
      <c r="AM52" s="312"/>
      <c r="AO52" s="509"/>
      <c r="AP52" s="509" t="str">
        <f>IF(T52="","",T52)</f>
        <v>Добавить группу потребителей</v>
      </c>
      <c r="AQ52" s="509"/>
      <c r="AR52" s="509"/>
      <c r="AS52" s="1164">
        <v>11</v>
      </c>
    </row>
    <row customHeight="1" ht="0">
      <c r="A53" s="1372" t="s">
        <v>203</v>
      </c>
      <c r="B53" s="1372" t="s">
        <v>204</v>
      </c>
      <c r="C53" s="1372" t="s">
        <v>205</v>
      </c>
      <c r="D53" s="1372" t="s">
        <v>206</v>
      </c>
      <c r="E53" s="2287"/>
      <c r="F53" s="2287"/>
      <c r="G53" s="2287"/>
      <c r="H53" s="2286"/>
      <c r="I53" s="1372"/>
      <c r="J53" s="1372"/>
      <c r="K53" s="1372"/>
      <c r="L53" s="1373"/>
      <c r="M53" s="1374"/>
      <c r="N53" s="1374"/>
      <c r="O53" s="546"/>
      <c r="P53" s="369"/>
      <c r="Q53" s="384"/>
      <c r="R53" s="364"/>
      <c r="S53" s="1395"/>
      <c r="T53" s="1396"/>
      <c r="U53" s="1397"/>
      <c r="V53" s="1397"/>
      <c r="W53" s="1397"/>
      <c r="X53" s="1397"/>
      <c r="Y53" s="1397"/>
      <c r="Z53" s="1397"/>
      <c r="AA53" s="1397"/>
      <c r="AB53" s="1397"/>
      <c r="AC53" s="1397"/>
      <c r="AD53" s="1397"/>
      <c r="AE53" s="1397"/>
      <c r="AF53" s="1397"/>
      <c r="AG53" s="1397"/>
      <c r="AH53" s="1397"/>
      <c r="AI53" s="1397"/>
      <c r="AJ53" s="1397"/>
      <c r="AK53" s="1397"/>
      <c r="AL53" s="1397"/>
      <c r="AM53" s="1398"/>
      <c r="AO53" s="509"/>
      <c r="AP53" s="509" t="str">
        <f>IF(T53="","",T53)</f>
        <v/>
      </c>
      <c r="AQ53" s="509"/>
      <c r="AR53" s="509"/>
      <c r="AS53" s="1164">
        <v>0</v>
      </c>
    </row>
    <row s="1651" customFormat="1" customHeight="1" ht="0">
      <c r="A54" s="1352" t="s">
        <v>203</v>
      </c>
      <c r="B54" s="1352" t="s">
        <v>204</v>
      </c>
      <c r="C54" s="1352" t="s">
        <v>205</v>
      </c>
      <c r="D54" s="1323"/>
      <c r="E54" s="2287"/>
      <c r="F54" s="2287"/>
      <c r="G54" s="2286"/>
      <c r="H54" s="1323"/>
      <c r="I54" s="1323"/>
      <c r="J54" s="1323"/>
      <c r="K54" s="1323"/>
      <c r="L54" s="1348"/>
      <c r="M54" s="1324"/>
      <c r="N54" s="1324"/>
      <c r="P54" s="1325"/>
      <c r="Q54" s="1326"/>
      <c r="R54" s="1325"/>
      <c r="S54" s="1331"/>
      <c r="T54" s="1334" t="s">
        <v>429</v>
      </c>
      <c r="U54" s="1333"/>
      <c r="V54" s="1333"/>
      <c r="W54" s="1333"/>
      <c r="X54" s="1333"/>
      <c r="Y54" s="1333"/>
      <c r="Z54" s="1333"/>
      <c r="AA54" s="1333"/>
      <c r="AB54" s="1333"/>
      <c r="AC54" s="1333"/>
      <c r="AD54" s="1333"/>
      <c r="AE54" s="1333"/>
      <c r="AF54" s="1333"/>
      <c r="AG54" s="1333"/>
      <c r="AH54" s="1333"/>
      <c r="AI54" s="1333"/>
      <c r="AJ54" s="1333"/>
      <c r="AK54" s="1333"/>
      <c r="AL54" s="1333"/>
      <c r="AM54" s="1333"/>
      <c r="AO54" s="798"/>
      <c r="AP54" s="798" t="str">
        <f>IF(T54="","",T54)</f>
        <v>Добавить источник для дифференциации</v>
      </c>
      <c r="AQ54" s="798"/>
      <c r="AR54" s="798"/>
      <c r="AS54" s="527">
        <v>0</v>
      </c>
    </row>
    <row s="1651" customFormat="1" customHeight="1" ht="0">
      <c r="A55" s="1352" t="s">
        <v>203</v>
      </c>
      <c r="B55" s="1352" t="s">
        <v>204</v>
      </c>
      <c r="C55" s="1323"/>
      <c r="D55" s="1323"/>
      <c r="E55" s="2287"/>
      <c r="F55" s="2286"/>
      <c r="G55" s="1323"/>
      <c r="H55" s="1323"/>
      <c r="I55" s="1323"/>
      <c r="J55" s="1323"/>
      <c r="K55" s="1323"/>
      <c r="L55" s="1348"/>
      <c r="M55" s="1330"/>
      <c r="N55" s="1330"/>
      <c r="P55" s="1325"/>
      <c r="Q55" s="1326"/>
      <c r="R55" s="1325"/>
      <c r="S55" s="1331"/>
      <c r="T55" s="1334" t="s">
        <v>430</v>
      </c>
      <c r="U55" s="1333"/>
      <c r="V55" s="1333"/>
      <c r="W55" s="1333"/>
      <c r="X55" s="1333"/>
      <c r="Y55" s="1333"/>
      <c r="Z55" s="1333"/>
      <c r="AA55" s="1333"/>
      <c r="AB55" s="1333"/>
      <c r="AC55" s="1333"/>
      <c r="AD55" s="1333"/>
      <c r="AE55" s="1333"/>
      <c r="AF55" s="1333"/>
      <c r="AG55" s="1333"/>
      <c r="AH55" s="1333"/>
      <c r="AI55" s="1333"/>
      <c r="AJ55" s="1333"/>
      <c r="AK55" s="1333"/>
      <c r="AL55" s="1333"/>
      <c r="AM55" s="1333"/>
      <c r="AO55" s="798"/>
      <c r="AP55" s="798" t="str">
        <f>IF(T55="","",T55)</f>
        <v>Добавить централизованную систему для дифференциации</v>
      </c>
      <c r="AQ55" s="798"/>
      <c r="AR55" s="798"/>
      <c r="AS55" s="527">
        <v>0</v>
      </c>
    </row>
    <row s="1651" customFormat="1" customHeight="1" ht="0">
      <c r="A56" s="1352" t="s">
        <v>203</v>
      </c>
      <c r="B56" s="1352"/>
      <c r="C56" s="1352"/>
      <c r="D56" s="1352"/>
      <c r="E56" s="2286"/>
      <c r="F56" s="1352"/>
      <c r="G56" s="1352"/>
      <c r="H56" s="1352"/>
      <c r="I56" s="1352"/>
      <c r="J56" s="1352"/>
      <c r="K56" s="1352"/>
      <c r="L56" s="1355"/>
      <c r="M56" s="1330"/>
      <c r="N56" s="1330"/>
      <c r="O56" s="527"/>
      <c r="P56" s="389"/>
      <c r="Q56" s="1353"/>
      <c r="R56" s="389"/>
      <c r="S56" s="1331"/>
      <c r="T56" s="1334" t="s">
        <v>431</v>
      </c>
      <c r="U56" s="1333"/>
      <c r="V56" s="1333"/>
      <c r="W56" s="1333"/>
      <c r="X56" s="1333"/>
      <c r="Y56" s="1333"/>
      <c r="Z56" s="1333"/>
      <c r="AA56" s="1333"/>
      <c r="AB56" s="1333"/>
      <c r="AC56" s="1333"/>
      <c r="AD56" s="1333"/>
      <c r="AE56" s="1333"/>
      <c r="AF56" s="1333"/>
      <c r="AG56" s="1333"/>
      <c r="AH56" s="1333"/>
      <c r="AI56" s="1333"/>
      <c r="AJ56" s="1333"/>
      <c r="AK56" s="1333"/>
      <c r="AL56" s="1333"/>
      <c r="AM56" s="1333"/>
      <c r="AO56" s="509"/>
      <c r="AP56" s="509" t="str">
        <f>IF(T56="","",T56)</f>
        <v>Добавить территорию для дифференциации</v>
      </c>
      <c r="AQ56" s="509"/>
      <c r="AR56" s="509"/>
      <c r="AS56" s="520">
        <v>0</v>
      </c>
    </row>
    <row s="1651" customFormat="1" customHeight="1" ht="4.2">
      <c r="A57" s="1323"/>
      <c r="B57" s="1323"/>
      <c r="C57" s="1323"/>
      <c r="D57" s="1323"/>
      <c r="E57" s="1352"/>
      <c r="F57" s="1323"/>
      <c r="G57" s="1323"/>
      <c r="H57" s="1323"/>
      <c r="I57" s="1323"/>
      <c r="J57" s="1323"/>
      <c r="K57" s="1323"/>
      <c r="L57" s="1348"/>
      <c r="M57" s="1330"/>
      <c r="N57" s="1330"/>
      <c r="P57" s="1325"/>
      <c r="Q57" s="1326"/>
      <c r="R57" s="1325"/>
      <c r="S57" s="1331"/>
      <c r="T57" s="1334" t="s">
        <v>459</v>
      </c>
      <c r="U57" s="1333"/>
      <c r="V57" s="1333"/>
      <c r="W57" s="1333"/>
      <c r="X57" s="1333"/>
      <c r="Y57" s="1333"/>
      <c r="Z57" s="1333"/>
      <c r="AA57" s="1333"/>
      <c r="AB57" s="1333"/>
      <c r="AC57" s="1333"/>
      <c r="AD57" s="1333"/>
      <c r="AE57" s="1333"/>
      <c r="AF57" s="1333"/>
      <c r="AG57" s="1333"/>
      <c r="AH57" s="1333"/>
      <c r="AI57" s="1333"/>
      <c r="AJ57" s="1333"/>
      <c r="AK57" s="1333"/>
      <c r="AL57" s="1333"/>
      <c r="AM57" s="1333"/>
      <c r="AO57" s="798"/>
      <c r="AP57" s="798" t="str">
        <f>IF(T57="","",T57)</f>
        <v>Добавить наименование тарифа</v>
      </c>
      <c r="AQ57" s="798"/>
      <c r="AR57" s="798"/>
      <c r="AS57" s="527">
        <v>4</v>
      </c>
    </row>
    <row customHeight="1" ht="11.549999999999999">
      <c r="M58" s="1169"/>
      <c r="N58" s="1169"/>
      <c r="O58" s="546"/>
      <c r="P58" s="1164"/>
      <c r="Q58" s="1164"/>
      <c r="R58" s="1164"/>
      <c r="S58" s="1164"/>
      <c r="AN58" s="1164"/>
      <c r="AO58" s="1164"/>
      <c r="AP58" s="1164"/>
      <c r="AQ58" s="1164"/>
      <c r="AR58" s="1164"/>
      <c r="AS58" s="1164">
        <v>11</v>
      </c>
    </row>
    <row customHeight="1" ht="14.699999999999998">
      <c r="O59" s="546"/>
      <c r="S59" s="1262"/>
      <c r="T59" s="2313"/>
      <c r="U59" s="2313"/>
      <c r="V59" s="2313"/>
      <c r="W59" s="2313"/>
      <c r="X59" s="2313"/>
      <c r="Y59" s="2313"/>
      <c r="Z59" s="2313"/>
      <c r="AA59" s="2313"/>
      <c r="AB59" s="2313"/>
      <c r="AC59" s="2313"/>
      <c r="AD59" s="2313"/>
      <c r="AE59" s="2313"/>
      <c r="AF59" s="2313"/>
      <c r="AG59" s="2313"/>
      <c r="AH59" s="2313"/>
      <c r="AI59" s="2313"/>
      <c r="AJ59" s="2313"/>
      <c r="AK59" s="2313"/>
      <c r="AL59" s="2313"/>
      <c r="AM59" s="2313"/>
      <c r="AS59" s="1164">
        <v>14</v>
      </c>
    </row>
    <row customHeight="1" ht="14.699999999999998">
      <c r="O60" s="546"/>
      <c r="T60" s="2313"/>
      <c r="U60" s="2313"/>
      <c r="V60" s="2313"/>
      <c r="W60" s="2313"/>
      <c r="X60" s="2313"/>
      <c r="Y60" s="2313"/>
      <c r="Z60" s="2313"/>
      <c r="AA60" s="2313"/>
      <c r="AB60" s="2313"/>
      <c r="AC60" s="2313"/>
      <c r="AD60" s="2313"/>
      <c r="AE60" s="2313"/>
      <c r="AF60" s="2313"/>
      <c r="AG60" s="2313"/>
      <c r="AH60" s="2313"/>
      <c r="AI60" s="2313"/>
      <c r="AJ60" s="2313"/>
      <c r="AK60" s="2313"/>
      <c r="AL60" s="2313"/>
      <c r="AM60" s="2313"/>
      <c r="AS60" s="1164">
        <v>14</v>
      </c>
    </row>
    <row customHeight="1" ht="14.699999999999998">
      <c r="O61" s="546"/>
      <c r="T61" s="2313"/>
      <c r="U61" s="2313"/>
      <c r="V61" s="2313"/>
      <c r="W61" s="2313"/>
      <c r="X61" s="2313"/>
      <c r="Y61" s="2313"/>
      <c r="Z61" s="2313"/>
      <c r="AA61" s="2313"/>
      <c r="AB61" s="2313"/>
      <c r="AC61" s="2313"/>
      <c r="AD61" s="2313"/>
      <c r="AE61" s="2313"/>
      <c r="AF61" s="2313"/>
      <c r="AG61" s="2313"/>
      <c r="AH61" s="2313"/>
      <c r="AI61" s="2313"/>
      <c r="AJ61" s="2313"/>
      <c r="AK61" s="2313"/>
      <c r="AL61" s="2313"/>
      <c r="AM61" s="2313"/>
      <c r="AS61" s="1164">
        <v>14</v>
      </c>
    </row>
    <row customHeight="1" ht="14.699999999999998">
      <c r="O62" s="546"/>
      <c r="AS62" s="1164">
        <v>14</v>
      </c>
    </row>
    <row customHeight="1" ht="14.699999999999998">
      <c r="O63" s="546"/>
      <c r="S63" s="1262"/>
      <c r="T63" s="2327"/>
      <c r="U63" s="2313"/>
      <c r="V63" s="2313"/>
      <c r="W63" s="2313"/>
      <c r="X63" s="2313"/>
      <c r="Y63" s="2313"/>
      <c r="Z63" s="2313"/>
      <c r="AA63" s="2313"/>
      <c r="AB63" s="2313"/>
      <c r="AC63" s="2313"/>
      <c r="AD63" s="2313"/>
      <c r="AE63" s="2313"/>
      <c r="AF63" s="2313"/>
      <c r="AG63" s="2313"/>
      <c r="AH63" s="2313"/>
      <c r="AI63" s="2313"/>
      <c r="AJ63" s="2313"/>
      <c r="AK63" s="2313"/>
      <c r="AL63" s="2313"/>
      <c r="AM63" s="2313"/>
      <c r="AS63" s="1164">
        <v>14</v>
      </c>
    </row>
    <row customHeight="1" ht="14.699999999999998">
      <c r="O64" s="546"/>
      <c r="T64" s="2313"/>
      <c r="U64" s="2313"/>
      <c r="V64" s="2313"/>
      <c r="W64" s="2313"/>
      <c r="X64" s="2313"/>
      <c r="Y64" s="2313"/>
      <c r="Z64" s="2313"/>
      <c r="AA64" s="2313"/>
      <c r="AB64" s="2313"/>
      <c r="AC64" s="2313"/>
      <c r="AD64" s="2313"/>
      <c r="AE64" s="2313"/>
      <c r="AF64" s="2313"/>
      <c r="AG64" s="2313"/>
      <c r="AH64" s="2313"/>
      <c r="AI64" s="2313"/>
      <c r="AJ64" s="2313"/>
      <c r="AK64" s="2313"/>
      <c r="AL64" s="2313"/>
      <c r="AM64" s="2313"/>
      <c r="AS64" s="1164">
        <v>14</v>
      </c>
    </row>
    <row customHeight="1" ht="14.699999999999998">
      <c r="T65" s="2313"/>
      <c r="U65" s="2313"/>
      <c r="V65" s="2313"/>
      <c r="W65" s="2313"/>
      <c r="X65" s="2313"/>
      <c r="Y65" s="2313"/>
      <c r="Z65" s="2313"/>
      <c r="AA65" s="2313"/>
      <c r="AB65" s="2313"/>
      <c r="AC65" s="2313"/>
      <c r="AD65" s="2313"/>
      <c r="AE65" s="2313"/>
      <c r="AF65" s="2313"/>
      <c r="AG65" s="2313"/>
      <c r="AH65" s="2313"/>
      <c r="AI65" s="2313"/>
      <c r="AJ65" s="2313"/>
      <c r="AK65" s="2313"/>
      <c r="AL65" s="2313"/>
      <c r="AM65" s="2313"/>
      <c r="AS65" s="1164">
        <v>14</v>
      </c>
    </row>
    <row customHeight="1" ht="22.5" hidden="1">
      <c r="A66" s="1169" t="s">
        <v>83</v>
      </c>
      <c r="B66" s="1169">
        <v>0</v>
      </c>
      <c r="C66" s="1169">
        <v>0</v>
      </c>
      <c r="D66" s="1169">
        <v>0</v>
      </c>
      <c r="E66" s="1169">
        <v>0</v>
      </c>
      <c r="F66" s="1169">
        <v>0</v>
      </c>
      <c r="G66" s="1169">
        <v>0</v>
      </c>
      <c r="H66" s="1169">
        <v>0</v>
      </c>
      <c r="I66" s="1169">
        <v>0</v>
      </c>
      <c r="J66" s="1169">
        <v>0</v>
      </c>
      <c r="K66" s="1169">
        <v>0</v>
      </c>
      <c r="L66" s="1338">
        <v>0</v>
      </c>
      <c r="M66" s="1371">
        <v>0</v>
      </c>
      <c r="N66" s="1371">
        <v>0</v>
      </c>
      <c r="O66" s="1371">
        <v>0</v>
      </c>
      <c r="P66" s="1337">
        <v>0</v>
      </c>
      <c r="Q66" s="353">
        <v>3</v>
      </c>
      <c r="R66" s="353">
        <v>3</v>
      </c>
      <c r="S66" s="590">
        <v>12</v>
      </c>
      <c r="T66" s="1164">
        <v>31</v>
      </c>
      <c r="U66" s="1164">
        <v>0</v>
      </c>
      <c r="V66" s="1164">
        <v>0</v>
      </c>
      <c r="W66" s="1164">
        <v>0</v>
      </c>
      <c r="X66" s="1164">
        <v>0</v>
      </c>
      <c r="Y66" s="1164">
        <v>0</v>
      </c>
      <c r="Z66" s="1164">
        <v>0</v>
      </c>
      <c r="AA66" s="1164">
        <v>0</v>
      </c>
      <c r="AB66" s="1164">
        <v>0</v>
      </c>
      <c r="AC66" s="1164">
        <v>0</v>
      </c>
      <c r="AD66" s="1164">
        <v>24</v>
      </c>
      <c r="AE66" s="1164">
        <v>0</v>
      </c>
      <c r="AF66" s="1164">
        <v>24</v>
      </c>
      <c r="AG66" s="1164">
        <v>24</v>
      </c>
      <c r="AH66" s="1164">
        <v>11</v>
      </c>
      <c r="AI66" s="1164">
        <v>3</v>
      </c>
      <c r="AJ66" s="1164">
        <v>11</v>
      </c>
      <c r="AK66" s="1164">
        <v>0</v>
      </c>
      <c r="AL66" s="1164">
        <v>4</v>
      </c>
      <c r="AM66" s="1164">
        <v>115</v>
      </c>
      <c r="AN66" s="520">
        <v>10</v>
      </c>
      <c r="AO66" s="520">
        <v>10</v>
      </c>
      <c r="AP66" s="520">
        <v>10</v>
      </c>
      <c r="AQ66" s="520">
        <v>10</v>
      </c>
      <c r="AR66" s="520">
        <v>10</v>
      </c>
      <c r="AS66" s="1164">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8EDFEF-04FC-317C-7C44-0.ACFB27A9}"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44" width="10.57421875" hidden="1"/>
    <col min="2" max="2" style="1644" width="11.00390625" hidden="1" customWidth="1"/>
    <col min="3" max="3" style="1644" width="10.57421875" hidden="1"/>
    <col min="4" max="4" style="1644" width="11.8515625" hidden="1" customWidth="1"/>
    <col min="5" max="5" style="1644" width="10.00390625" hidden="1" customWidth="1"/>
    <col min="6" max="6" style="1644" width="8.7109375" hidden="1" customWidth="1"/>
    <col min="7" max="7" style="1644" width="7.57421875" hidden="1" customWidth="1"/>
    <col min="8" max="8" style="1644" width="11.421875" hidden="1" customWidth="1"/>
    <col min="9" max="9" style="1644" width="12.00390625" hidden="1" customWidth="1"/>
    <col min="10" max="10" style="1644" width="9.8515625" hidden="1" customWidth="1"/>
    <col min="11" max="12" style="1644" width="11.421875" hidden="1" customWidth="1"/>
    <col min="13" max="13" style="2153" width="19.140625" hidden="1" customWidth="1"/>
    <col min="14" max="15" style="2425" width="12.28125" hidden="1" customWidth="1"/>
    <col min="16" max="16" style="2425" width="23.421875" hidden="1" customWidth="1"/>
    <col min="17" max="17" style="2425" width="3.7109375" hidden="1" customWidth="1"/>
    <col min="18" max="20" style="353" width="3.00390625" customWidth="1"/>
    <col min="21" max="21" style="2435" width="12.00390625" customWidth="1"/>
    <col min="22" max="22" style="1644" width="31.00390625" customWidth="1"/>
    <col min="23" max="23" style="1644" width="0.140625" customWidth="1"/>
    <col min="24" max="28" style="1644" width="21.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21.7109375" customWidth="1"/>
    <col min="34" max="37" style="1644" width="21.00390625" customWidth="1"/>
    <col min="38" max="38" style="1644" width="11.00390625" customWidth="1"/>
    <col min="39" max="39" style="1644" width="3.7109375" customWidth="1"/>
    <col min="40" max="40" style="1644" width="11.00390625" customWidth="1"/>
    <col min="41" max="41" style="1644" width="8.57421875" hidden="1" customWidth="1"/>
    <col min="42" max="42" style="1644" width="4.00390625" customWidth="1"/>
    <col min="43" max="43" style="1644" width="115.00390625" customWidth="1"/>
    <col min="44" max="48" style="1651" width="10.00390625" customWidth="1"/>
    <col min="49" max="49" style="1644" width="10.57421875" hidden="1"/>
  </cols>
  <sheetData>
    <row customHeight="1" ht="22.5" hidden="1">
      <c r="AB1" s="336"/>
      <c r="AC1" s="336"/>
      <c r="AK1" s="336"/>
      <c r="AL1" s="336"/>
      <c r="AW1" s="1164" t="s">
        <v>14</v>
      </c>
    </row>
    <row customHeight="1" ht="21" hidden="1">
      <c r="A2" s="1276"/>
      <c r="B2" s="1276"/>
      <c r="C2" s="1276"/>
      <c r="D2" s="1276"/>
      <c r="E2" s="2317">
        <v>1</v>
      </c>
      <c r="F2" s="1276"/>
      <c r="G2" s="1276"/>
      <c r="H2" s="1276"/>
      <c r="I2" s="1276"/>
      <c r="J2" s="1276"/>
      <c r="K2" s="1276"/>
      <c r="L2" s="1276"/>
      <c r="M2" s="1319"/>
      <c r="N2" s="697"/>
      <c r="O2" s="697"/>
      <c r="P2" s="697"/>
      <c r="Q2" s="370"/>
      <c r="R2" s="369"/>
      <c r="S2" s="369"/>
      <c r="T2" s="364"/>
      <c r="U2" s="1345">
        <f>INDEX(PT_DIFFERENTIATION_NUM_NTAR,MATCH(A2,PT_DIFFERENTIATION_NTAR_ID,0))</f>
      </c>
      <c r="V2" s="307" t="s">
        <v>140</v>
      </c>
      <c r="W2" s="309"/>
      <c r="X2" s="2270"/>
      <c r="Y2" s="2271"/>
      <c r="Z2" s="2271"/>
      <c r="AA2" s="2271"/>
      <c r="AB2" s="2271"/>
      <c r="AC2" s="2271"/>
      <c r="AD2" s="2271"/>
      <c r="AE2" s="2271"/>
      <c r="AF2" s="2272"/>
      <c r="AG2" s="2270">
        <f>INDEX(PT_DIFFERENTIATION_NTAR,MATCH(A2,PT_DIFFERENTIATION_NTAR_ID,0))</f>
      </c>
      <c r="AH2" s="2271"/>
      <c r="AI2" s="2271"/>
      <c r="AJ2" s="2271"/>
      <c r="AK2" s="2271"/>
      <c r="AL2" s="2271"/>
      <c r="AM2" s="2271"/>
      <c r="AN2" s="2271"/>
      <c r="AO2" s="2271"/>
      <c r="AP2" s="2272"/>
      <c r="AQ2" s="1267" t="s">
        <v>411</v>
      </c>
      <c r="AS2" s="509"/>
      <c r="AT2" s="509" t="str">
        <f>IF(V2="","",V2)</f>
        <v>Наименование тарифа</v>
      </c>
      <c r="AU2" s="509"/>
      <c r="AV2" s="509"/>
      <c r="AW2" s="1164">
        <v>0</v>
      </c>
    </row>
    <row customHeight="1" ht="21" hidden="1">
      <c r="A3" s="1276"/>
      <c r="B3" s="1276"/>
      <c r="C3" s="1276"/>
      <c r="D3" s="1276"/>
      <c r="E3" s="2318"/>
      <c r="F3" s="2317">
        <v>1</v>
      </c>
      <c r="G3" s="1276"/>
      <c r="H3" s="1276"/>
      <c r="I3" s="1276"/>
      <c r="J3" s="1276"/>
      <c r="K3" s="1276"/>
      <c r="L3" s="1276"/>
      <c r="M3" s="1319"/>
      <c r="N3" s="697"/>
      <c r="O3" s="697"/>
      <c r="P3" s="697"/>
      <c r="Q3" s="1341"/>
      <c r="R3" s="361"/>
      <c r="S3" s="518"/>
      <c r="T3" s="362"/>
      <c r="U3" s="1345">
        <f>INDEX(PT_DIFFERENTIATION_NUM_TER,MATCH(B3,PT_DIFFERENTIATION_TER_ID,0))</f>
      </c>
      <c r="V3" s="317" t="s">
        <v>412</v>
      </c>
      <c r="W3" s="309"/>
      <c r="X3" s="2270"/>
      <c r="Y3" s="2271"/>
      <c r="Z3" s="2271"/>
      <c r="AA3" s="2271"/>
      <c r="AB3" s="2271"/>
      <c r="AC3" s="2271"/>
      <c r="AD3" s="2271"/>
      <c r="AE3" s="2271"/>
      <c r="AF3" s="2272"/>
      <c r="AG3" s="2270">
        <f>INDEX(PT_DIFFERENTIATION_TER,MATCH(B3,PT_DIFFERENTIATION_TER_ID,0))</f>
      </c>
      <c r="AH3" s="2271"/>
      <c r="AI3" s="2271"/>
      <c r="AJ3" s="2271"/>
      <c r="AK3" s="2271"/>
      <c r="AL3" s="2271"/>
      <c r="AM3" s="2271"/>
      <c r="AN3" s="2271"/>
      <c r="AO3" s="2271"/>
      <c r="AP3" s="2272"/>
      <c r="AQ3" s="1267" t="s">
        <v>413</v>
      </c>
      <c r="AS3" s="509"/>
      <c r="AT3" s="509" t="str">
        <f>IF(V3="","",V3)</f>
        <v>Территория действия тарифа</v>
      </c>
      <c r="AU3" s="509"/>
      <c r="AV3" s="509"/>
      <c r="AW3" s="1164">
        <v>0</v>
      </c>
    </row>
    <row customHeight="1" ht="22.5" hidden="1">
      <c r="A4" s="1276"/>
      <c r="B4" s="1276"/>
      <c r="C4" s="1276"/>
      <c r="D4" s="1276"/>
      <c r="E4" s="2318"/>
      <c r="F4" s="2318"/>
      <c r="G4" s="2317">
        <v>1</v>
      </c>
      <c r="H4" s="1276"/>
      <c r="I4" s="1276"/>
      <c r="J4" s="1276"/>
      <c r="K4" s="1276"/>
      <c r="L4" s="1276"/>
      <c r="M4" s="1319"/>
      <c r="N4" s="697"/>
      <c r="O4" s="697"/>
      <c r="P4" s="697"/>
      <c r="Q4" s="363"/>
      <c r="R4" s="361"/>
      <c r="S4" s="518"/>
      <c r="T4" s="362"/>
      <c r="U4" s="1345">
        <f>INDEX(PT_DIFFERENTIATION_NUM_CS,MATCH(C4,PT_DIFFERENTIATION_CS_ID,0))</f>
      </c>
      <c r="V4" s="318" t="s">
        <v>414</v>
      </c>
      <c r="W4" s="309"/>
      <c r="X4" s="2270"/>
      <c r="Y4" s="2271"/>
      <c r="Z4" s="2271"/>
      <c r="AA4" s="2271"/>
      <c r="AB4" s="2271"/>
      <c r="AC4" s="2271"/>
      <c r="AD4" s="2271"/>
      <c r="AE4" s="2271"/>
      <c r="AF4" s="2272"/>
      <c r="AG4" s="2270">
        <f>INDEX(PT_DIFFERENTIATION_CS,MATCH(C4,PT_DIFFERENTIATION_CS_ID,0))</f>
      </c>
      <c r="AH4" s="2271"/>
      <c r="AI4" s="2271"/>
      <c r="AJ4" s="2271"/>
      <c r="AK4" s="2271"/>
      <c r="AL4" s="2271"/>
      <c r="AM4" s="2271"/>
      <c r="AN4" s="2271"/>
      <c r="AO4" s="2271"/>
      <c r="AP4" s="2272"/>
      <c r="AQ4" s="1267" t="s">
        <v>415</v>
      </c>
      <c r="AS4" s="509"/>
      <c r="AT4" s="509" t="str">
        <f>IF(V4="","",V4)</f>
        <v>Наименование системы теплоснабжения </v>
      </c>
      <c r="AU4" s="509"/>
      <c r="AV4" s="509"/>
      <c r="AW4" s="1164">
        <v>0</v>
      </c>
    </row>
    <row customHeight="1" ht="21" hidden="1">
      <c r="A5" s="1276"/>
      <c r="B5" s="1276"/>
      <c r="C5" s="1276"/>
      <c r="D5" s="1276"/>
      <c r="E5" s="2318"/>
      <c r="F5" s="2318"/>
      <c r="G5" s="2318"/>
      <c r="H5" s="2317">
        <v>1</v>
      </c>
      <c r="I5" s="1276"/>
      <c r="J5" s="1276"/>
      <c r="K5" s="1276"/>
      <c r="L5" s="1276"/>
      <c r="M5" s="1319"/>
      <c r="N5" s="697"/>
      <c r="O5" s="697"/>
      <c r="P5" s="697"/>
      <c r="Q5" s="363"/>
      <c r="R5" s="361"/>
      <c r="S5" s="518"/>
      <c r="T5" s="362"/>
      <c r="U5" s="1345">
        <f>INDEX(PT_DIFFERENTIATION_NUM_IST_TE,MATCH(D5,PT_DIFFERENTIATION_IST_TE_ID,0))</f>
      </c>
      <c r="V5" s="319" t="s">
        <v>416</v>
      </c>
      <c r="W5" s="309"/>
      <c r="X5" s="2270"/>
      <c r="Y5" s="2271"/>
      <c r="Z5" s="2271"/>
      <c r="AA5" s="2271"/>
      <c r="AB5" s="2271"/>
      <c r="AC5" s="2271"/>
      <c r="AD5" s="2271"/>
      <c r="AE5" s="2271"/>
      <c r="AF5" s="2272"/>
      <c r="AG5" s="2270">
        <f>INDEX(PT_DIFFERENTIATION_IST_TE,MATCH(D5,PT_DIFFERENTIATION_IST_TE_ID,0))</f>
      </c>
      <c r="AH5" s="2271"/>
      <c r="AI5" s="2271"/>
      <c r="AJ5" s="2271"/>
      <c r="AK5" s="2271"/>
      <c r="AL5" s="2271"/>
      <c r="AM5" s="2271"/>
      <c r="AN5" s="2271"/>
      <c r="AO5" s="2271"/>
      <c r="AP5" s="2272"/>
      <c r="AQ5" s="1267" t="s">
        <v>417</v>
      </c>
      <c r="AS5" s="509"/>
      <c r="AT5" s="509" t="str">
        <f>IF(V5="","",V5)</f>
        <v>Источник тепловой энергии  </v>
      </c>
      <c r="AU5" s="509"/>
      <c r="AV5" s="509"/>
      <c r="AW5" s="1164">
        <v>0</v>
      </c>
    </row>
    <row customHeight="1" ht="14.25" hidden="1">
      <c r="A6" s="1276"/>
      <c r="B6" s="1276"/>
      <c r="C6" s="1276"/>
      <c r="D6" s="1276"/>
      <c r="E6" s="2318"/>
      <c r="F6" s="2318"/>
      <c r="G6" s="2318"/>
      <c r="H6" s="2318"/>
      <c r="I6" s="2155">
        <f>U5&amp;".1"</f>
      </c>
      <c r="J6" s="1276"/>
      <c r="K6" s="1276"/>
      <c r="L6" s="1276"/>
      <c r="M6" s="1319" t="s">
        <v>418</v>
      </c>
      <c r="N6" s="518"/>
      <c r="Q6" s="2285">
        <v>1</v>
      </c>
      <c r="R6" s="1340"/>
      <c r="S6" s="1340"/>
      <c r="T6" s="365"/>
      <c r="U6" s="1051"/>
      <c r="V6" s="1392"/>
      <c r="W6" s="1393"/>
      <c r="X6" s="2324"/>
      <c r="Y6" s="2325"/>
      <c r="Z6" s="2325"/>
      <c r="AA6" s="2325"/>
      <c r="AB6" s="2325"/>
      <c r="AC6" s="2325"/>
      <c r="AD6" s="2325"/>
      <c r="AE6" s="2325"/>
      <c r="AF6" s="2326"/>
      <c r="AG6" s="2324"/>
      <c r="AH6" s="2325"/>
      <c r="AI6" s="2325"/>
      <c r="AJ6" s="2325"/>
      <c r="AK6" s="2325"/>
      <c r="AL6" s="2325"/>
      <c r="AM6" s="2325"/>
      <c r="AN6" s="2325"/>
      <c r="AO6" s="2325"/>
      <c r="AP6" s="2326"/>
      <c r="AQ6" s="1394"/>
      <c r="AS6" s="509"/>
      <c r="AT6" s="509" t="str">
        <f>IF(V6="","",V6)</f>
        <v/>
      </c>
      <c r="AU6" s="509"/>
      <c r="AV6" s="509"/>
      <c r="AW6" s="1164">
        <v>0</v>
      </c>
    </row>
    <row customHeight="1" ht="21" hidden="1">
      <c r="A7" s="1276"/>
      <c r="B7" s="1276"/>
      <c r="C7" s="1276"/>
      <c r="D7" s="1276"/>
      <c r="E7" s="2318"/>
      <c r="F7" s="2318"/>
      <c r="G7" s="2318"/>
      <c r="H7" s="2318"/>
      <c r="I7" s="2129"/>
      <c r="J7" s="2155">
        <f>I6&amp;".1"</f>
      </c>
      <c r="K7" s="1276"/>
      <c r="L7" s="1276"/>
      <c r="M7" s="1319" t="s">
        <v>421</v>
      </c>
      <c r="N7" s="518"/>
      <c r="O7" s="336"/>
      <c r="Q7" s="2285"/>
      <c r="R7" s="2285">
        <v>1</v>
      </c>
      <c r="S7" s="527"/>
      <c r="T7" s="366"/>
      <c r="U7" s="1345">
        <f>$J7</f>
      </c>
      <c r="V7" s="295" t="s">
        <v>422</v>
      </c>
      <c r="W7" s="309"/>
      <c r="X7" s="2273"/>
      <c r="Y7" s="2274"/>
      <c r="Z7" s="2274"/>
      <c r="AA7" s="2274"/>
      <c r="AB7" s="2274"/>
      <c r="AC7" s="2263"/>
      <c r="AD7" s="2263"/>
      <c r="AE7" s="2263"/>
      <c r="AF7" s="2336"/>
      <c r="AG7" s="2273"/>
      <c r="AH7" s="2274"/>
      <c r="AI7" s="2274"/>
      <c r="AJ7" s="2274"/>
      <c r="AK7" s="2274"/>
      <c r="AL7" s="2274"/>
      <c r="AM7" s="2274"/>
      <c r="AN7" s="2274"/>
      <c r="AO7" s="2274"/>
      <c r="AP7" s="2275"/>
      <c r="AQ7" s="1267" t="s">
        <v>423</v>
      </c>
      <c r="AS7" s="509"/>
      <c r="AT7" s="509" t="str">
        <f>IF(V7="","",V7)</f>
        <v>Группа потребителей</v>
      </c>
      <c r="AU7" s="509"/>
      <c r="AV7" s="509"/>
      <c r="AW7" s="1164">
        <v>0</v>
      </c>
    </row>
    <row customHeight="1" ht="21" hidden="1">
      <c r="A8" s="1276"/>
      <c r="B8" s="1276"/>
      <c r="C8" s="1276"/>
      <c r="D8" s="1276"/>
      <c r="E8" s="2318"/>
      <c r="F8" s="2318"/>
      <c r="G8" s="2318"/>
      <c r="H8" s="2318"/>
      <c r="I8" s="2129"/>
      <c r="J8" s="2129"/>
      <c r="K8" s="2155">
        <f>J7&amp;".1"</f>
      </c>
      <c r="L8" s="148"/>
      <c r="M8" s="1319" t="s">
        <v>424</v>
      </c>
      <c r="N8" s="518"/>
      <c r="O8" s="336"/>
      <c r="P8" s="336"/>
      <c r="Q8" s="2285"/>
      <c r="R8" s="2285"/>
      <c r="S8" s="2285">
        <v>1</v>
      </c>
      <c r="T8" s="366"/>
      <c r="U8" s="1345">
        <f>$K8</f>
      </c>
      <c r="V8" s="1356"/>
      <c r="W8" s="309"/>
      <c r="X8" s="760"/>
      <c r="Y8" s="760"/>
      <c r="Z8" s="760"/>
      <c r="AA8" s="760"/>
      <c r="AB8" s="1414"/>
      <c r="AC8" s="2293"/>
      <c r="AD8" s="2135" t="s">
        <v>63</v>
      </c>
      <c r="AE8" s="2293"/>
      <c r="AF8" s="2135" t="s">
        <v>63</v>
      </c>
      <c r="AG8" s="1416"/>
      <c r="AH8" s="760"/>
      <c r="AI8" s="760"/>
      <c r="AJ8" s="760"/>
      <c r="AK8" s="1266"/>
      <c r="AL8" s="2293"/>
      <c r="AM8" s="2135" t="s">
        <v>63</v>
      </c>
      <c r="AN8" s="2293"/>
      <c r="AO8" s="2135" t="s">
        <v>63</v>
      </c>
      <c r="AP8" s="334"/>
      <c r="AQ8" s="1316" t="s">
        <v>463</v>
      </c>
      <c r="AR8" s="520">
        <f>STRCHECKDATE(X10:AP10)</f>
      </c>
      <c r="AS8" s="509"/>
      <c r="AT8" s="509" t="str">
        <f>IF(V8="","",V8)</f>
        <v/>
      </c>
      <c r="AU8" s="509"/>
      <c r="AV8" s="509"/>
      <c r="AW8" s="1164">
        <v>0</v>
      </c>
    </row>
    <row customHeight="1" ht="21" hidden="1">
      <c r="A9" s="1276"/>
      <c r="B9" s="1276"/>
      <c r="C9" s="1276"/>
      <c r="D9" s="1276"/>
      <c r="E9" s="2318"/>
      <c r="F9" s="2318"/>
      <c r="G9" s="2318"/>
      <c r="H9" s="2318"/>
      <c r="I9" s="2129"/>
      <c r="J9" s="2129"/>
      <c r="K9" s="2129"/>
      <c r="L9" s="2155">
        <f>K8&amp;".1"</f>
      </c>
      <c r="M9" s="1319"/>
      <c r="N9" s="518"/>
      <c r="O9" s="336"/>
      <c r="P9" s="336"/>
      <c r="Q9" s="2285"/>
      <c r="R9" s="2285"/>
      <c r="S9" s="2285"/>
      <c r="T9" s="366"/>
      <c r="U9" s="1345">
        <f>$L9</f>
      </c>
      <c r="V9" s="1400"/>
      <c r="W9" s="309"/>
      <c r="X9" s="334"/>
      <c r="Y9" s="760"/>
      <c r="Z9" s="760"/>
      <c r="AA9" s="760"/>
      <c r="AB9" s="1414"/>
      <c r="AC9" s="2337"/>
      <c r="AD9" s="2135"/>
      <c r="AE9" s="2337"/>
      <c r="AF9" s="2135"/>
      <c r="AG9" s="1416"/>
      <c r="AH9" s="760"/>
      <c r="AI9" s="760"/>
      <c r="AJ9" s="760"/>
      <c r="AK9" s="1266"/>
      <c r="AL9" s="2337"/>
      <c r="AM9" s="2135"/>
      <c r="AN9" s="2337"/>
      <c r="AO9" s="2135"/>
      <c r="AP9" s="334"/>
      <c r="AQ9" s="2281" t="s">
        <v>464</v>
      </c>
      <c r="AS9" s="509"/>
      <c r="AT9" s="509"/>
      <c r="AU9" s="509"/>
      <c r="AV9" s="509"/>
      <c r="AW9" s="1164">
        <v>0</v>
      </c>
    </row>
    <row customHeight="1" ht="14.25" hidden="1">
      <c r="A10" s="1276"/>
      <c r="B10" s="1276"/>
      <c r="C10" s="1276"/>
      <c r="D10" s="1276"/>
      <c r="E10" s="2318"/>
      <c r="F10" s="2318"/>
      <c r="G10" s="2318"/>
      <c r="H10" s="2318"/>
      <c r="I10" s="2129"/>
      <c r="J10" s="2129"/>
      <c r="K10" s="2129"/>
      <c r="L10" s="2155"/>
      <c r="M10" s="1319"/>
      <c r="N10" s="518"/>
      <c r="O10" s="336"/>
      <c r="P10" s="336"/>
      <c r="Q10" s="2285"/>
      <c r="R10" s="2285"/>
      <c r="S10" s="2285"/>
      <c r="T10" s="366"/>
      <c r="U10" s="1351"/>
      <c r="V10" s="309"/>
      <c r="W10" s="309"/>
      <c r="X10" s="334"/>
      <c r="Y10" s="334"/>
      <c r="Z10" s="334"/>
      <c r="AA10" s="334"/>
      <c r="AB10" s="1415" t="str">
        <f>AC8&amp;"-"&amp;AE8</f>
        <v>-</v>
      </c>
      <c r="AC10" s="2337"/>
      <c r="AD10" s="2135"/>
      <c r="AE10" s="2337"/>
      <c r="AF10" s="2135"/>
      <c r="AG10" s="1391"/>
      <c r="AH10" s="334"/>
      <c r="AI10" s="334"/>
      <c r="AJ10" s="334"/>
      <c r="AK10" s="337" t="str">
        <f>AL8&amp;"-"&amp;AN8</f>
        <v>-</v>
      </c>
      <c r="AL10" s="2337"/>
      <c r="AM10" s="2135"/>
      <c r="AN10" s="2337"/>
      <c r="AO10" s="2135"/>
      <c r="AP10" s="334"/>
      <c r="AQ10" s="2282"/>
      <c r="AS10" s="509"/>
      <c r="AT10" s="509" t="str">
        <f>IF(V10="","",V10)</f>
        <v/>
      </c>
      <c r="AU10" s="509"/>
      <c r="AV10" s="509"/>
      <c r="AW10" s="1164">
        <v>0</v>
      </c>
    </row>
    <row customHeight="1" ht="11.25" hidden="1">
      <c r="A11" s="1276"/>
      <c r="B11" s="1276"/>
      <c r="C11" s="1276"/>
      <c r="D11" s="1276"/>
      <c r="E11" s="2318"/>
      <c r="F11" s="2318"/>
      <c r="G11" s="2318"/>
      <c r="H11" s="2318"/>
      <c r="I11" s="2129"/>
      <c r="J11" s="2129"/>
      <c r="K11" s="2155"/>
      <c r="L11" s="1276"/>
      <c r="M11" s="1319"/>
      <c r="N11" s="518"/>
      <c r="O11" s="336"/>
      <c r="P11" s="336"/>
      <c r="Q11" s="2285"/>
      <c r="R11" s="2285"/>
      <c r="S11" s="2285"/>
      <c r="T11" s="366"/>
      <c r="U11" s="1287"/>
      <c r="V11" s="297" t="s">
        <v>465</v>
      </c>
      <c r="W11" s="1401"/>
      <c r="X11" s="1402"/>
      <c r="Y11" s="1402"/>
      <c r="Z11" s="1402"/>
      <c r="AA11" s="1402"/>
      <c r="AB11" s="1403"/>
      <c r="AC11" s="2337"/>
      <c r="AD11" s="2135"/>
      <c r="AE11" s="2337"/>
      <c r="AF11" s="2135"/>
      <c r="AG11" s="1402"/>
      <c r="AH11" s="1402"/>
      <c r="AI11" s="1402"/>
      <c r="AJ11" s="1402"/>
      <c r="AK11" s="1403"/>
      <c r="AL11" s="2337"/>
      <c r="AM11" s="2135"/>
      <c r="AN11" s="2337"/>
      <c r="AO11" s="2135"/>
      <c r="AP11" s="1404"/>
      <c r="AQ11" s="2282"/>
      <c r="AS11" s="509"/>
      <c r="AT11" s="509"/>
      <c r="AU11" s="509"/>
      <c r="AV11" s="509"/>
      <c r="AW11" s="1164">
        <v>0</v>
      </c>
    </row>
    <row customHeight="1" ht="15" hidden="1">
      <c r="A12" s="1276"/>
      <c r="B12" s="1276"/>
      <c r="C12" s="1276"/>
      <c r="D12" s="1276"/>
      <c r="E12" s="2318"/>
      <c r="F12" s="2318"/>
      <c r="G12" s="2318"/>
      <c r="H12" s="2318"/>
      <c r="I12" s="2129"/>
      <c r="J12" s="2155"/>
      <c r="K12" s="1276"/>
      <c r="L12" s="1276"/>
      <c r="M12" s="1319"/>
      <c r="N12" s="518"/>
      <c r="O12" s="336"/>
      <c r="Q12" s="2285"/>
      <c r="R12" s="2285"/>
      <c r="S12" s="1340"/>
      <c r="T12" s="365"/>
      <c r="U12" s="1287"/>
      <c r="V12" s="296" t="s">
        <v>426</v>
      </c>
      <c r="W12" s="376"/>
      <c r="X12" s="376"/>
      <c r="Y12" s="376"/>
      <c r="Z12" s="376"/>
      <c r="AA12" s="376"/>
      <c r="AB12" s="376"/>
      <c r="AC12" s="1417"/>
      <c r="AD12" s="1417"/>
      <c r="AE12" s="1417"/>
      <c r="AF12" s="1417"/>
      <c r="AG12" s="376"/>
      <c r="AH12" s="376"/>
      <c r="AI12" s="376"/>
      <c r="AJ12" s="376"/>
      <c r="AK12" s="376"/>
      <c r="AL12" s="376"/>
      <c r="AM12" s="376"/>
      <c r="AN12" s="376"/>
      <c r="AO12" s="376"/>
      <c r="AP12" s="333"/>
      <c r="AQ12" s="2283"/>
      <c r="AS12" s="509"/>
      <c r="AT12" s="509" t="str">
        <f>IF(V12="","",V12)</f>
        <v>Добавить вид теплоносителя (параметры теплоносителя)</v>
      </c>
      <c r="AU12" s="509"/>
      <c r="AV12" s="509"/>
      <c r="AW12" s="1164">
        <v>0</v>
      </c>
    </row>
    <row customHeight="1" ht="11.25" hidden="1">
      <c r="A13" s="1276"/>
      <c r="B13" s="1276"/>
      <c r="C13" s="1276"/>
      <c r="D13" s="1276"/>
      <c r="E13" s="2318"/>
      <c r="F13" s="2318"/>
      <c r="G13" s="2318"/>
      <c r="H13" s="2318"/>
      <c r="I13" s="2155"/>
      <c r="J13" s="1276"/>
      <c r="K13" s="1276"/>
      <c r="L13" s="1276"/>
      <c r="M13" s="1319"/>
      <c r="N13" s="518"/>
      <c r="Q13" s="2285"/>
      <c r="R13" s="1340"/>
      <c r="S13" s="1340"/>
      <c r="T13" s="365"/>
      <c r="U13" s="1287"/>
      <c r="V13" s="374" t="s">
        <v>427</v>
      </c>
      <c r="W13" s="376"/>
      <c r="X13" s="376"/>
      <c r="Y13" s="376"/>
      <c r="Z13" s="376"/>
      <c r="AA13" s="376"/>
      <c r="AB13" s="376"/>
      <c r="AC13" s="376"/>
      <c r="AD13" s="376"/>
      <c r="AE13" s="376"/>
      <c r="AF13" s="375"/>
      <c r="AG13" s="376"/>
      <c r="AH13" s="376"/>
      <c r="AI13" s="376"/>
      <c r="AJ13" s="376"/>
      <c r="AK13" s="376"/>
      <c r="AL13" s="376"/>
      <c r="AM13" s="376"/>
      <c r="AN13" s="376"/>
      <c r="AO13" s="375"/>
      <c r="AP13" s="376"/>
      <c r="AQ13" s="312"/>
      <c r="AS13" s="509"/>
      <c r="AT13" s="509" t="str">
        <f>IF(V13="","",V13)</f>
        <v>Добавить группу потребителей</v>
      </c>
      <c r="AU13" s="509"/>
      <c r="AV13" s="509"/>
      <c r="AW13" s="1164">
        <v>0</v>
      </c>
    </row>
    <row customHeight="1" ht="14.25" hidden="1">
      <c r="A14" s="1276"/>
      <c r="B14" s="1276"/>
      <c r="C14" s="1276"/>
      <c r="D14" s="1276"/>
      <c r="E14" s="2318"/>
      <c r="F14" s="2318"/>
      <c r="G14" s="2318"/>
      <c r="H14" s="2317"/>
      <c r="I14" s="1276"/>
      <c r="J14" s="1276"/>
      <c r="K14" s="1276"/>
      <c r="L14" s="1276"/>
      <c r="M14" s="1319"/>
      <c r="N14" s="697"/>
      <c r="O14" s="697"/>
      <c r="P14" s="518"/>
      <c r="Q14" s="369"/>
      <c r="R14" s="384"/>
      <c r="S14" s="364"/>
      <c r="T14" s="369"/>
      <c r="U14" s="1395"/>
      <c r="V14" s="1396"/>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8"/>
      <c r="AS14" s="509"/>
      <c r="AT14" s="509" t="str">
        <f>IF(V14="","",V14)</f>
        <v/>
      </c>
      <c r="AU14" s="509"/>
      <c r="AV14" s="509"/>
      <c r="AW14" s="1164">
        <v>0</v>
      </c>
    </row>
    <row s="1651" customFormat="1" customHeight="1" ht="14.25" hidden="1">
      <c r="A15" s="1383"/>
      <c r="B15" s="1383"/>
      <c r="C15" s="1383"/>
      <c r="D15" s="1383"/>
      <c r="E15" s="2318"/>
      <c r="F15" s="2318"/>
      <c r="G15" s="2317"/>
      <c r="H15" s="1383"/>
      <c r="I15" s="1383"/>
      <c r="J15" s="1383"/>
      <c r="K15" s="1383"/>
      <c r="L15" s="1383"/>
      <c r="M15" s="1386"/>
      <c r="N15" s="1387"/>
      <c r="O15" s="1387"/>
      <c r="P15" s="360"/>
      <c r="Q15" s="1325"/>
      <c r="R15" s="1326"/>
      <c r="S15" s="1325"/>
      <c r="T15" s="1325"/>
      <c r="U15" s="1327"/>
      <c r="V15" s="1328" t="s">
        <v>429</v>
      </c>
      <c r="W15" s="1329"/>
      <c r="X15" s="1329"/>
      <c r="Y15" s="1329"/>
      <c r="Z15" s="1329"/>
      <c r="AA15" s="1329"/>
      <c r="AB15" s="1329"/>
      <c r="AC15" s="1329"/>
      <c r="AD15" s="1329"/>
      <c r="AE15" s="1329"/>
      <c r="AF15" s="1329"/>
      <c r="AG15" s="1329"/>
      <c r="AH15" s="1329"/>
      <c r="AI15" s="1329"/>
      <c r="AJ15" s="1329"/>
      <c r="AK15" s="1329"/>
      <c r="AL15" s="1329"/>
      <c r="AM15" s="1329"/>
      <c r="AN15" s="1329"/>
      <c r="AO15" s="1329"/>
      <c r="AP15" s="1329"/>
      <c r="AQ15" s="1329"/>
      <c r="AS15" s="798"/>
      <c r="AT15" s="798" t="str">
        <f>IF(V15="","",V15)</f>
        <v>Добавить источник для дифференциации</v>
      </c>
      <c r="AU15" s="798"/>
      <c r="AV15" s="798"/>
      <c r="AW15" s="527">
        <v>0</v>
      </c>
    </row>
    <row s="1651" customFormat="1" customHeight="1" ht="14.25" hidden="1">
      <c r="A16" s="1383"/>
      <c r="B16" s="1383"/>
      <c r="C16" s="1383"/>
      <c r="D16" s="1383"/>
      <c r="E16" s="2318"/>
      <c r="F16" s="2317"/>
      <c r="G16" s="1383"/>
      <c r="H16" s="1383"/>
      <c r="I16" s="1383"/>
      <c r="J16" s="1383"/>
      <c r="K16" s="1383"/>
      <c r="L16" s="1383"/>
      <c r="M16" s="1386"/>
      <c r="N16" s="1388"/>
      <c r="O16" s="1388"/>
      <c r="P16" s="360"/>
      <c r="Q16" s="1325"/>
      <c r="R16" s="1326"/>
      <c r="S16" s="1325"/>
      <c r="T16" s="1325"/>
      <c r="U16" s="1331"/>
      <c r="V16" s="1332" t="s">
        <v>430</v>
      </c>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S16" s="798"/>
      <c r="AT16" s="798" t="str">
        <f>IF(V16="","",V16)</f>
        <v>Добавить централизованную систему для дифференциации</v>
      </c>
      <c r="AU16" s="798"/>
      <c r="AV16" s="798"/>
      <c r="AW16" s="527">
        <v>0</v>
      </c>
    </row>
    <row s="1651" customFormat="1" customHeight="1" ht="14.25" hidden="1">
      <c r="A17" s="1383"/>
      <c r="B17" s="1383"/>
      <c r="C17" s="1383"/>
      <c r="D17" s="1383"/>
      <c r="E17" s="2317"/>
      <c r="F17" s="1383"/>
      <c r="G17" s="1383"/>
      <c r="H17" s="1383"/>
      <c r="I17" s="1383"/>
      <c r="J17" s="1383"/>
      <c r="K17" s="1383"/>
      <c r="L17" s="1383"/>
      <c r="M17" s="1386"/>
      <c r="N17" s="1388"/>
      <c r="O17" s="1388"/>
      <c r="P17" s="360"/>
      <c r="Q17" s="1325"/>
      <c r="R17" s="1326"/>
      <c r="S17" s="1325"/>
      <c r="T17" s="1325"/>
      <c r="U17" s="1331"/>
      <c r="V17" s="1334" t="s">
        <v>431</v>
      </c>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S17" s="798"/>
      <c r="AT17" s="798" t="str">
        <f>IF(V17="","",V17)</f>
        <v>Добавить территорию для дифференциации</v>
      </c>
      <c r="AU17" s="798"/>
      <c r="AV17" s="798"/>
      <c r="AW17" s="527">
        <v>0</v>
      </c>
    </row>
    <row customHeight="1" ht="14.25" hidden="1">
      <c r="AF18" s="336"/>
      <c r="AO18" s="336"/>
      <c r="AW18" s="1164">
        <v>0</v>
      </c>
    </row>
    <row customHeight="1" ht="14.25" hidden="1">
      <c r="AG19" s="1369"/>
      <c r="AH19" s="1369"/>
      <c r="AI19" s="1369"/>
      <c r="AJ19" s="1369"/>
      <c r="AK19" s="1370"/>
      <c r="AL19" s="2295"/>
      <c r="AM19" s="2296" t="s">
        <v>63</v>
      </c>
      <c r="AN19" s="2295"/>
      <c r="AO19" s="2296" t="s">
        <v>63</v>
      </c>
      <c r="AW19" s="1164">
        <v>0</v>
      </c>
    </row>
    <row customHeight="1" ht="14.25" hidden="1">
      <c r="AG20" s="1369"/>
      <c r="AH20" s="1369"/>
      <c r="AI20" s="1369"/>
      <c r="AJ20" s="1369"/>
      <c r="AK20" s="1370"/>
      <c r="AL20" s="2295"/>
      <c r="AM20" s="2296"/>
      <c r="AN20" s="2295"/>
      <c r="AO20" s="2296"/>
      <c r="AW20" s="1164">
        <v>0</v>
      </c>
    </row>
    <row customHeight="1" ht="14.25" hidden="1">
      <c r="AG21" s="1369"/>
      <c r="AH21" s="1369"/>
      <c r="AI21" s="1369"/>
      <c r="AJ21" s="1369"/>
      <c r="AK21" s="1370"/>
      <c r="AL21" s="2295"/>
      <c r="AM21" s="2296"/>
      <c r="AN21" s="2295"/>
      <c r="AO21" s="2296"/>
      <c r="AW21" s="1164">
        <v>0</v>
      </c>
    </row>
    <row customHeight="1" ht="14.25" hidden="1">
      <c r="AG22" s="1369"/>
      <c r="AH22" s="1369"/>
      <c r="AI22" s="1369"/>
      <c r="AJ22" s="1369"/>
      <c r="AK22" s="337" t="str">
        <f>AL19&amp;"-"&amp;AN19</f>
        <v>-</v>
      </c>
      <c r="AL22" s="2296"/>
      <c r="AM22" s="2296"/>
      <c r="AN22" s="2296"/>
      <c r="AO22" s="2296"/>
      <c r="AW22" s="1164">
        <v>0</v>
      </c>
    </row>
    <row customHeight="1" ht="14.25" hidden="1">
      <c r="AO23" s="336"/>
      <c r="AW23" s="1164">
        <v>0</v>
      </c>
    </row>
    <row s="1375" customFormat="1" customHeight="1" ht="22.5" hidden="1">
      <c r="A24" s="1164"/>
      <c r="B24" s="1164"/>
      <c r="C24" s="1164"/>
      <c r="D24" s="1164"/>
      <c r="E24" s="1164"/>
      <c r="F24" s="1164"/>
      <c r="G24" s="1164"/>
      <c r="H24" s="1164"/>
      <c r="I24" s="1164"/>
      <c r="J24" s="1164"/>
      <c r="K24" s="1164"/>
      <c r="L24" s="1164"/>
      <c r="M24" s="1336"/>
      <c r="N24" s="1337"/>
      <c r="O24" s="1337"/>
      <c r="P24" s="1354" t="s">
        <v>432</v>
      </c>
      <c r="Q24" s="1371"/>
      <c r="R24" s="1380"/>
      <c r="S24" s="1380"/>
      <c r="T24" s="1380"/>
      <c r="U24" s="738"/>
      <c r="AC24" s="1376"/>
      <c r="AE24" s="1376"/>
      <c r="AF24" s="1375"/>
      <c r="AL24" s="1376"/>
      <c r="AN24" s="1376"/>
      <c r="AO24" s="1375"/>
      <c r="AR24" s="520"/>
      <c r="AS24" s="520"/>
      <c r="AT24" s="520"/>
      <c r="AU24" s="520"/>
      <c r="AV24" s="520"/>
      <c r="AW24" s="1169">
        <v>0</v>
      </c>
    </row>
    <row s="1375" customFormat="1" customHeight="1" ht="14.25" hidden="1">
      <c r="A25" s="1164"/>
      <c r="B25" s="1164"/>
      <c r="C25" s="1164"/>
      <c r="D25" s="1164"/>
      <c r="E25" s="1164"/>
      <c r="F25" s="1164"/>
      <c r="G25" s="1164"/>
      <c r="H25" s="1164"/>
      <c r="I25" s="1164"/>
      <c r="J25" s="1164"/>
      <c r="K25" s="1164"/>
      <c r="L25" s="1164"/>
      <c r="M25" s="1336"/>
      <c r="N25" s="1337"/>
      <c r="O25" s="1337"/>
      <c r="P25" s="1337"/>
      <c r="Q25" s="1371"/>
      <c r="R25" s="1380"/>
      <c r="S25" s="1380"/>
      <c r="T25" s="1380"/>
      <c r="U25" s="738"/>
      <c r="AF25" s="1375"/>
      <c r="AO25" s="1375"/>
      <c r="AR25" s="520"/>
      <c r="AS25" s="520"/>
      <c r="AT25" s="520"/>
      <c r="AU25" s="520"/>
      <c r="AV25" s="520"/>
      <c r="AW25" s="1169">
        <v>0</v>
      </c>
    </row>
    <row s="1375" customFormat="1" customHeight="1" ht="14.25" hidden="1">
      <c r="A26" s="1164"/>
      <c r="B26" s="1164"/>
      <c r="C26" s="1164"/>
      <c r="D26" s="1164"/>
      <c r="E26" s="1164"/>
      <c r="F26" s="1164"/>
      <c r="G26" s="1164"/>
      <c r="H26" s="1164"/>
      <c r="I26" s="1164"/>
      <c r="J26" s="1164"/>
      <c r="K26" s="1164"/>
      <c r="L26" s="1164"/>
      <c r="M26" s="1336"/>
      <c r="N26" s="1337"/>
      <c r="O26" s="1337"/>
      <c r="P26" s="1319" t="s">
        <v>433</v>
      </c>
      <c r="Q26" s="1371"/>
      <c r="R26" s="1380"/>
      <c r="S26" s="1380"/>
      <c r="T26" s="1380"/>
      <c r="U26" s="738"/>
      <c r="V26" s="1169" t="s">
        <v>434</v>
      </c>
      <c r="AD26" s="195" t="s">
        <v>435</v>
      </c>
      <c r="AF26" s="195" t="s">
        <v>436</v>
      </c>
      <c r="AG26" s="1169" t="s">
        <v>434</v>
      </c>
      <c r="AM26" s="195" t="s">
        <v>437</v>
      </c>
      <c r="AO26" s="195" t="s">
        <v>436</v>
      </c>
      <c r="AR26" s="520"/>
      <c r="AS26" s="520"/>
      <c r="AT26" s="520"/>
      <c r="AU26" s="520"/>
      <c r="AV26" s="520"/>
      <c r="AW26" s="1169">
        <v>0</v>
      </c>
    </row>
    <row customHeight="1" ht="14.25" hidden="1">
      <c r="P27" s="1319"/>
      <c r="AW27" s="1164">
        <v>0</v>
      </c>
    </row>
    <row customHeight="1" ht="14.25" hidden="1">
      <c r="P28" s="1319"/>
      <c r="AW28" s="1164">
        <v>0</v>
      </c>
    </row>
    <row customHeight="1" ht="14.699999999999998">
      <c r="R29" s="385"/>
      <c r="S29" s="385"/>
      <c r="T29" s="385"/>
      <c r="U29" s="1284"/>
      <c r="V29" s="372"/>
      <c r="W29" s="372"/>
      <c r="X29" s="518"/>
      <c r="Y29" s="518"/>
      <c r="Z29" s="518"/>
      <c r="AA29" s="518"/>
      <c r="AB29" s="518"/>
      <c r="AC29" s="518"/>
      <c r="AD29" s="518"/>
      <c r="AE29" s="518"/>
      <c r="AF29" s="518"/>
      <c r="AG29" s="518"/>
      <c r="AH29" s="518"/>
      <c r="AI29" s="518"/>
      <c r="AJ29" s="518"/>
      <c r="AK29" s="518"/>
      <c r="AL29" s="518"/>
      <c r="AM29" s="518"/>
      <c r="AN29" s="518"/>
      <c r="AO29" s="518"/>
      <c r="AW29" s="1164">
        <v>14</v>
      </c>
    </row>
    <row customHeight="1" ht="56.699999999999996">
      <c r="R30" s="385"/>
      <c r="S30" s="385"/>
      <c r="T30" s="385"/>
      <c r="U30" s="227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76"/>
      <c r="W30" s="2276"/>
      <c r="X30" s="2276"/>
      <c r="Y30" s="2276"/>
      <c r="Z30" s="2276"/>
      <c r="AA30" s="2276"/>
      <c r="AB30" s="2276"/>
      <c r="AC30" s="2276"/>
      <c r="AD30" s="2276"/>
      <c r="AE30" s="2276"/>
      <c r="AF30" s="2276"/>
      <c r="AG30" s="2276"/>
      <c r="AH30" s="2276"/>
      <c r="AI30" s="2276"/>
      <c r="AJ30" s="2276"/>
      <c r="AK30" s="2276"/>
      <c r="AL30" s="2276"/>
      <c r="AM30" s="2276"/>
      <c r="AN30" s="2276"/>
      <c r="AO30" s="1252"/>
      <c r="AW30" s="1164">
        <v>54</v>
      </c>
    </row>
    <row customHeight="1" ht="14.699999999999998">
      <c r="R31" s="385"/>
      <c r="S31" s="385"/>
      <c r="T31" s="385"/>
      <c r="U31" s="2277" t="str">
        <f>IF(org=0,"Не определено",org)</f>
        <v>АО "ДГК"</v>
      </c>
      <c r="V31" s="2277"/>
      <c r="W31" s="2277"/>
      <c r="X31" s="2277"/>
      <c r="Y31" s="2277"/>
      <c r="Z31" s="2277"/>
      <c r="AA31" s="2277"/>
      <c r="AB31" s="2277"/>
      <c r="AC31" s="2277"/>
      <c r="AD31" s="2277"/>
      <c r="AE31" s="2277"/>
      <c r="AF31" s="2277"/>
      <c r="AG31" s="2277"/>
      <c r="AH31" s="2277"/>
      <c r="AI31" s="2277"/>
      <c r="AJ31" s="2277"/>
      <c r="AK31" s="2277"/>
      <c r="AL31" s="2277"/>
      <c r="AM31" s="2277"/>
      <c r="AN31" s="2277"/>
      <c r="AO31" s="1252"/>
      <c r="AW31" s="1164">
        <v>14</v>
      </c>
    </row>
    <row customHeight="1" ht="14.25" hidden="1">
      <c r="R32" s="385"/>
      <c r="S32" s="385"/>
      <c r="T32" s="385"/>
      <c r="U32" s="1284"/>
      <c r="V32" s="372"/>
      <c r="W32" s="372"/>
      <c r="X32" s="331"/>
      <c r="Y32" s="331"/>
      <c r="Z32" s="331"/>
      <c r="AA32" s="331"/>
      <c r="AB32" s="331"/>
      <c r="AC32" s="331"/>
      <c r="AD32" s="331"/>
      <c r="AE32" s="331"/>
      <c r="AF32" s="331"/>
      <c r="AG32" s="331"/>
      <c r="AH32" s="331"/>
      <c r="AI32" s="331"/>
      <c r="AJ32" s="331"/>
      <c r="AK32" s="331"/>
      <c r="AL32" s="331"/>
      <c r="AM32" s="331"/>
      <c r="AN32" s="331"/>
      <c r="AO32" s="331"/>
      <c r="AP32" s="518"/>
      <c r="AW32" s="1164">
        <v>0</v>
      </c>
    </row>
    <row s="1859" customFormat="1" customHeight="1" ht="25.5" hidden="1">
      <c r="A33" s="1257"/>
      <c r="B33" s="1257"/>
      <c r="C33" s="1257"/>
      <c r="D33" s="1257"/>
      <c r="E33" s="1257"/>
      <c r="F33" s="1257"/>
      <c r="G33" s="1257"/>
      <c r="H33" s="1257"/>
      <c r="I33" s="1257"/>
      <c r="J33" s="1257"/>
      <c r="K33" s="1257"/>
      <c r="L33" s="1257"/>
      <c r="M33" s="1389"/>
      <c r="N33" s="1257"/>
      <c r="O33" s="1257"/>
      <c r="P33" s="1257"/>
      <c r="U33"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V33" s="2278"/>
      <c r="W33" s="1381"/>
      <c r="X33" s="2279" t="str">
        <f>IF(TITLE_NAME_OR_PR_CHANGE="",IF(TITLE_NAME_OR_PR="","",TITLE_NAME_OR_PR),TITLE_NAME_OR_PR_CHANGE)</f>
        <v/>
      </c>
      <c r="Y33" s="2279"/>
      <c r="Z33" s="2279"/>
      <c r="AA33" s="2279"/>
      <c r="AB33" s="2279"/>
      <c r="AC33" s="2279"/>
      <c r="AD33" s="2279"/>
      <c r="AE33" s="2279"/>
      <c r="AF33" s="335"/>
      <c r="AG33" s="2279" t="str">
        <f>IF(TITLE_NAME_OR_PR_CHANGE="",IF(TITLE_NAME_OR_PR="","",TITLE_NAME_OR_PR),TITLE_NAME_OR_PR_CHANGE)</f>
        <v/>
      </c>
      <c r="AH33" s="2279"/>
      <c r="AI33" s="2279"/>
      <c r="AJ33" s="2279"/>
      <c r="AK33" s="2279"/>
      <c r="AL33" s="2279"/>
      <c r="AM33" s="2279"/>
      <c r="AN33" s="2279"/>
      <c r="AO33" s="335"/>
      <c r="AP33" s="335"/>
      <c r="AQ33" s="289"/>
      <c r="AR33" s="377"/>
      <c r="AS33" s="377"/>
      <c r="AT33" s="377"/>
      <c r="AU33" s="377"/>
      <c r="AV33" s="377"/>
      <c r="AW33" s="427">
        <v>0</v>
      </c>
    </row>
    <row s="1859" customFormat="1" customHeight="1" ht="18.75" hidden="1">
      <c r="A34" s="1257"/>
      <c r="B34" s="1257"/>
      <c r="C34" s="1257"/>
      <c r="D34" s="1257"/>
      <c r="E34" s="1257"/>
      <c r="F34" s="1257"/>
      <c r="G34" s="1257"/>
      <c r="H34" s="1257"/>
      <c r="I34" s="1257"/>
      <c r="J34" s="1257"/>
      <c r="K34" s="1257"/>
      <c r="L34" s="1257"/>
      <c r="M34" s="1389"/>
      <c r="N34" s="1257"/>
      <c r="O34" s="1257"/>
      <c r="P34" s="1257"/>
      <c r="U34" s="2278" t="str">
        <f>"Дата документа об "&amp;IF(TITLE_DATE_PR_CHANGE="","утверждении","изменении")&amp;" тарифов"</f>
        <v>Дата документа об утверждении тарифов</v>
      </c>
      <c r="V34" s="2278"/>
      <c r="W34" s="1381"/>
      <c r="X34" s="2292" t="str">
        <f>IF(TITLE_DATE_PR_CHANGE="",IF(TITLE_DATE_PR="","",TITLE_DATE_PR),TITLE_DATE_PR_CHANGE)</f>
        <v/>
      </c>
      <c r="Y34" s="2292"/>
      <c r="Z34" s="2292"/>
      <c r="AA34" s="2292"/>
      <c r="AB34" s="2292"/>
      <c r="AC34" s="2292"/>
      <c r="AD34" s="2292"/>
      <c r="AE34" s="2292"/>
      <c r="AF34" s="335"/>
      <c r="AG34" s="2292" t="str">
        <f>IF(TITLE_DATE_PR_CHANGE="",IF(TITLE_DATE_PR="","",TITLE_DATE_PR),TITLE_DATE_PR_CHANGE)</f>
        <v/>
      </c>
      <c r="AH34" s="2292"/>
      <c r="AI34" s="2292"/>
      <c r="AJ34" s="2292"/>
      <c r="AK34" s="2292"/>
      <c r="AL34" s="2292"/>
      <c r="AM34" s="2292"/>
      <c r="AN34" s="2292"/>
      <c r="AO34" s="335"/>
      <c r="AP34" s="335"/>
      <c r="AQ34" s="289"/>
      <c r="AR34" s="377"/>
      <c r="AS34" s="377"/>
      <c r="AT34" s="377"/>
      <c r="AU34" s="377"/>
      <c r="AV34" s="377"/>
      <c r="AW34" s="427">
        <v>0</v>
      </c>
    </row>
    <row s="1859" customFormat="1" customHeight="1" ht="18.75" hidden="1">
      <c r="A35" s="1257"/>
      <c r="B35" s="1257"/>
      <c r="C35" s="1257"/>
      <c r="D35" s="1257"/>
      <c r="E35" s="1257"/>
      <c r="F35" s="1257"/>
      <c r="G35" s="1257"/>
      <c r="H35" s="1257"/>
      <c r="I35" s="1257"/>
      <c r="J35" s="1257"/>
      <c r="K35" s="1257"/>
      <c r="L35" s="1257"/>
      <c r="M35" s="1389"/>
      <c r="N35" s="1257"/>
      <c r="O35" s="1257"/>
      <c r="P35" s="1257"/>
      <c r="U35" s="2278" t="str">
        <f>"Номер документа об "&amp;IF(TITLE_DATE_PR_CHANGE="","утверждении","изменении")&amp;" тарифов"</f>
        <v>Номер документа об утверждении тарифов</v>
      </c>
      <c r="V35" s="2278"/>
      <c r="W35" s="1381"/>
      <c r="X35" s="2279" t="str">
        <f>IF(TITLE_NUMBER_PR_CHANGE="",IF(TITLE_NUMBER_PR="","",TITLE_NUMBER_PR),TITLE_NUMBER_PR_CHANGE)</f>
        <v/>
      </c>
      <c r="Y35" s="2279"/>
      <c r="Z35" s="2279"/>
      <c r="AA35" s="2279"/>
      <c r="AB35" s="2279"/>
      <c r="AC35" s="2279"/>
      <c r="AD35" s="2279"/>
      <c r="AE35" s="2279"/>
      <c r="AF35" s="335"/>
      <c r="AG35" s="2279" t="str">
        <f>IF(TITLE_NUMBER_PR_CHANGE="",IF(TITLE_NUMBER_PR="","",TITLE_NUMBER_PR),TITLE_NUMBER_PR_CHANGE)</f>
        <v/>
      </c>
      <c r="AH35" s="2279"/>
      <c r="AI35" s="2279"/>
      <c r="AJ35" s="2279"/>
      <c r="AK35" s="2279"/>
      <c r="AL35" s="2279"/>
      <c r="AM35" s="2279"/>
      <c r="AN35" s="2279"/>
      <c r="AO35" s="335"/>
      <c r="AP35" s="335"/>
      <c r="AQ35" s="289"/>
      <c r="AR35" s="377"/>
      <c r="AS35" s="377"/>
      <c r="AT35" s="377"/>
      <c r="AU35" s="377"/>
      <c r="AV35" s="377"/>
      <c r="AW35" s="427">
        <v>0</v>
      </c>
    </row>
    <row s="1859" customFormat="1" customHeight="1" ht="18.75" hidden="1">
      <c r="A36" s="1257"/>
      <c r="B36" s="1257"/>
      <c r="C36" s="1257"/>
      <c r="D36" s="1257"/>
      <c r="E36" s="1257"/>
      <c r="F36" s="1257"/>
      <c r="G36" s="1257"/>
      <c r="H36" s="1257"/>
      <c r="I36" s="1257"/>
      <c r="J36" s="1257"/>
      <c r="K36" s="1257"/>
      <c r="L36" s="1257"/>
      <c r="M36" s="1389"/>
      <c r="N36" s="1257"/>
      <c r="O36" s="1257"/>
      <c r="P36" s="1257"/>
      <c r="U36" s="2278" t="s">
        <v>43</v>
      </c>
      <c r="V36" s="2278"/>
      <c r="W36" s="1381"/>
      <c r="X36" s="2279" t="str">
        <f>IF(TITLE_IST_PUB_CHANGE="",IF(TITLE_IST_PUB="","",TITLE_IST_PUB),TITLE_IST_PUB_CHANGE)</f>
        <v/>
      </c>
      <c r="Y36" s="2279"/>
      <c r="Z36" s="2279"/>
      <c r="AA36" s="2279"/>
      <c r="AB36" s="2279"/>
      <c r="AC36" s="2279"/>
      <c r="AD36" s="2279"/>
      <c r="AE36" s="2279"/>
      <c r="AF36" s="335"/>
      <c r="AG36" s="2279" t="str">
        <f>IF(TITLE_IST_PUB_CHANGE="",IF(TITLE_IST_PUB="","",TITLE_IST_PUB),TITLE_IST_PUB_CHANGE)</f>
        <v/>
      </c>
      <c r="AH36" s="2279"/>
      <c r="AI36" s="2279"/>
      <c r="AJ36" s="2279"/>
      <c r="AK36" s="2279"/>
      <c r="AL36" s="2279"/>
      <c r="AM36" s="2279"/>
      <c r="AN36" s="2279"/>
      <c r="AO36" s="335"/>
      <c r="AP36" s="335"/>
      <c r="AQ36" s="289"/>
      <c r="AR36" s="377"/>
      <c r="AS36" s="377"/>
      <c r="AT36" s="377"/>
      <c r="AU36" s="377"/>
      <c r="AV36" s="377"/>
      <c r="AW36" s="427">
        <v>0</v>
      </c>
    </row>
    <row customHeight="1" ht="14.25" hidden="1">
      <c r="R37" s="385"/>
      <c r="S37" s="385"/>
      <c r="T37" s="385"/>
      <c r="U37" s="1284"/>
      <c r="V37" s="466"/>
      <c r="W37" s="372"/>
      <c r="X37" s="331"/>
      <c r="Y37" s="331"/>
      <c r="Z37" s="331"/>
      <c r="AA37" s="331"/>
      <c r="AB37" s="331"/>
      <c r="AC37" s="331"/>
      <c r="AD37" s="331"/>
      <c r="AE37" s="331"/>
      <c r="AF37" s="331"/>
      <c r="AG37" s="331"/>
      <c r="AH37" s="331"/>
      <c r="AI37" s="331"/>
      <c r="AJ37" s="331"/>
      <c r="AK37" s="331"/>
      <c r="AL37" s="331"/>
      <c r="AM37" s="331"/>
      <c r="AN37" s="331"/>
      <c r="AO37" s="331"/>
      <c r="AP37" s="518"/>
      <c r="AW37" s="1164">
        <v>0</v>
      </c>
    </row>
    <row s="1859" customFormat="1" customHeight="1" ht="18.75" hidden="1">
      <c r="A38" s="1257"/>
      <c r="B38" s="1257"/>
      <c r="C38" s="1257"/>
      <c r="D38" s="1257"/>
      <c r="E38" s="1257"/>
      <c r="F38" s="1257"/>
      <c r="G38" s="1257"/>
      <c r="H38" s="1257"/>
      <c r="I38" s="1257"/>
      <c r="J38" s="1257"/>
      <c r="K38" s="1257"/>
      <c r="L38" s="1257"/>
      <c r="M38" s="1389"/>
      <c r="N38" s="1257"/>
      <c r="O38" s="1257"/>
      <c r="P38" s="1257"/>
      <c r="U38" s="2278" t="str">
        <f>"Дата подачи заявления об "&amp;IF(TITLE_DATE_PR_CHANGE="","утверждении","изменении")&amp;" тарифов"</f>
        <v>Дата подачи заявления об утверждении тарифов</v>
      </c>
      <c r="V38" s="2278"/>
      <c r="W38" s="1381"/>
      <c r="X38" s="2292" t="str">
        <f>IF(TITLE_DATE_PR_CHANGE="",IF(TITLE_DATE_PR="","",TITLE_DATE_PR),TITLE_DATE_PR_CHANGE)</f>
        <v/>
      </c>
      <c r="Y38" s="2292"/>
      <c r="Z38" s="2292"/>
      <c r="AA38" s="2292"/>
      <c r="AB38" s="2292"/>
      <c r="AC38" s="2292"/>
      <c r="AD38" s="2292"/>
      <c r="AE38" s="2292"/>
      <c r="AF38" s="335"/>
      <c r="AG38" s="2292" t="str">
        <f>IF(TITLE_DATE_PR_CHANGE="",IF(TITLE_DATE_PR="","",TITLE_DATE_PR),TITLE_DATE_PR_CHANGE)</f>
        <v/>
      </c>
      <c r="AH38" s="2292"/>
      <c r="AI38" s="2292"/>
      <c r="AJ38" s="2292"/>
      <c r="AK38" s="2292"/>
      <c r="AL38" s="2292"/>
      <c r="AM38" s="2292"/>
      <c r="AN38" s="2292"/>
      <c r="AO38" s="335"/>
      <c r="AP38" s="335"/>
      <c r="AQ38" s="289"/>
      <c r="AR38" s="377"/>
      <c r="AS38" s="377"/>
      <c r="AT38" s="377"/>
      <c r="AU38" s="377"/>
      <c r="AV38" s="377"/>
      <c r="AW38" s="427">
        <v>0</v>
      </c>
    </row>
    <row s="1859" customFormat="1" customHeight="1" ht="18.75" hidden="1">
      <c r="A39" s="1257"/>
      <c r="B39" s="1257"/>
      <c r="C39" s="1257"/>
      <c r="D39" s="1257"/>
      <c r="E39" s="1257"/>
      <c r="F39" s="1257"/>
      <c r="G39" s="1257"/>
      <c r="H39" s="1257"/>
      <c r="I39" s="1257"/>
      <c r="J39" s="1257"/>
      <c r="K39" s="1257"/>
      <c r="L39" s="1257"/>
      <c r="M39" s="1389"/>
      <c r="N39" s="1257"/>
      <c r="O39" s="1257"/>
      <c r="P39" s="1257"/>
      <c r="U39" s="2278" t="str">
        <f>"Номер подачи заявления об "&amp;IF(TITLE_DATE_PR_CHANGE="","утверждении","изменении")&amp;" тарифов"</f>
        <v>Номер подачи заявления об утверждении тарифов</v>
      </c>
      <c r="V39" s="2278"/>
      <c r="W39" s="1381"/>
      <c r="X39" s="2279" t="str">
        <f>IF(TITLE_NUMBER_PR_CHANGE="",IF(TITLE_NUMBER_PR="","",TITLE_NUMBER_PR),TITLE_NUMBER_PR_CHANGE)</f>
        <v/>
      </c>
      <c r="Y39" s="2279"/>
      <c r="Z39" s="2279"/>
      <c r="AA39" s="2279"/>
      <c r="AB39" s="2279"/>
      <c r="AC39" s="2279"/>
      <c r="AD39" s="2279"/>
      <c r="AE39" s="2279"/>
      <c r="AF39" s="335"/>
      <c r="AG39" s="2279" t="str">
        <f>IF(TITLE_NUMBER_PR_CHANGE="",IF(TITLE_NUMBER_PR="","",TITLE_NUMBER_PR),TITLE_NUMBER_PR_CHANGE)</f>
        <v/>
      </c>
      <c r="AH39" s="2279"/>
      <c r="AI39" s="2279"/>
      <c r="AJ39" s="2279"/>
      <c r="AK39" s="2279"/>
      <c r="AL39" s="2279"/>
      <c r="AM39" s="2279"/>
      <c r="AN39" s="2279"/>
      <c r="AO39" s="335"/>
      <c r="AP39" s="335"/>
      <c r="AQ39" s="289"/>
      <c r="AR39" s="377"/>
      <c r="AS39" s="377"/>
      <c r="AT39" s="377"/>
      <c r="AU39" s="377"/>
      <c r="AV39" s="377"/>
      <c r="AW39" s="427">
        <v>0</v>
      </c>
    </row>
    <row s="1859" customFormat="1" customHeight="1" ht="0">
      <c r="A40" s="1257"/>
      <c r="B40" s="1257"/>
      <c r="C40" s="1257"/>
      <c r="D40" s="1257"/>
      <c r="E40" s="1257"/>
      <c r="F40" s="1257"/>
      <c r="G40" s="1257"/>
      <c r="H40" s="1257"/>
      <c r="I40" s="1257"/>
      <c r="J40" s="1257"/>
      <c r="K40" s="1257"/>
      <c r="L40" s="1257"/>
      <c r="M40" s="1389"/>
      <c r="N40" s="1257"/>
      <c r="O40" s="1257"/>
      <c r="P40" s="1257"/>
      <c r="U40" s="332"/>
      <c r="V40" s="332"/>
      <c r="W40" s="1349"/>
      <c r="X40" s="335"/>
      <c r="Y40" s="335"/>
      <c r="Z40" s="335"/>
      <c r="AA40" s="335"/>
      <c r="AB40" s="335"/>
      <c r="AC40" s="335"/>
      <c r="AD40" s="335"/>
      <c r="AE40" s="335"/>
      <c r="AF40" s="287" t="s">
        <v>438</v>
      </c>
      <c r="AG40" s="335"/>
      <c r="AH40" s="335"/>
      <c r="AI40" s="335"/>
      <c r="AJ40" s="335"/>
      <c r="AK40" s="335"/>
      <c r="AL40" s="335"/>
      <c r="AM40" s="335"/>
      <c r="AN40" s="335"/>
      <c r="AO40" s="287" t="s">
        <v>438</v>
      </c>
      <c r="AR40" s="377"/>
      <c r="AS40" s="377"/>
      <c r="AT40" s="377"/>
      <c r="AU40" s="377"/>
      <c r="AV40" s="377"/>
      <c r="AW40" s="427">
        <v>0</v>
      </c>
    </row>
    <row customHeight="1" ht="14.699999999999998">
      <c r="R41" s="385"/>
      <c r="S41" s="385"/>
      <c r="T41" s="385"/>
      <c r="U41" s="1284"/>
      <c r="V41" s="372"/>
      <c r="W41" s="1253"/>
      <c r="X41" s="2280"/>
      <c r="Y41" s="2280"/>
      <c r="Z41" s="2280"/>
      <c r="AA41" s="2280"/>
      <c r="AB41" s="2280"/>
      <c r="AC41" s="2280"/>
      <c r="AD41" s="2280"/>
      <c r="AE41" s="2280"/>
      <c r="AF41" s="2280"/>
      <c r="AG41" s="2280"/>
      <c r="AH41" s="2280"/>
      <c r="AI41" s="2280"/>
      <c r="AJ41" s="2280"/>
      <c r="AK41" s="2280"/>
      <c r="AL41" s="2280"/>
      <c r="AM41" s="2280"/>
      <c r="AN41" s="2280"/>
      <c r="AO41" s="2280"/>
      <c r="AW41" s="1164">
        <v>14</v>
      </c>
    </row>
    <row customHeight="1" ht="14.699999999999998">
      <c r="R42" s="385"/>
      <c r="S42" s="385"/>
      <c r="T42" s="385"/>
      <c r="U42" s="2155" t="s">
        <v>315</v>
      </c>
      <c r="V42" s="2155"/>
      <c r="W42" s="2155"/>
      <c r="X42" s="2155"/>
      <c r="Y42" s="2155"/>
      <c r="Z42" s="2155"/>
      <c r="AA42" s="2155"/>
      <c r="AB42" s="2155"/>
      <c r="AC42" s="2155"/>
      <c r="AD42" s="2155"/>
      <c r="AE42" s="2155"/>
      <c r="AF42" s="2155"/>
      <c r="AG42" s="2155"/>
      <c r="AH42" s="2155"/>
      <c r="AI42" s="2155"/>
      <c r="AJ42" s="2155"/>
      <c r="AK42" s="2155"/>
      <c r="AL42" s="2155"/>
      <c r="AM42" s="2155"/>
      <c r="AN42" s="2155"/>
      <c r="AO42" s="2155"/>
      <c r="AP42" s="2155"/>
      <c r="AQ42" s="2155" t="s">
        <v>316</v>
      </c>
      <c r="AW42" s="1164">
        <v>14</v>
      </c>
    </row>
    <row customHeight="1" ht="14.699999999999998">
      <c r="R43" s="385"/>
      <c r="S43" s="385"/>
      <c r="T43" s="385"/>
      <c r="U43" s="2301" t="s">
        <v>89</v>
      </c>
      <c r="V43" s="2237" t="s">
        <v>439</v>
      </c>
      <c r="W43" s="310"/>
      <c r="X43" s="2302" t="s">
        <v>440</v>
      </c>
      <c r="Y43" s="2319"/>
      <c r="Z43" s="2319"/>
      <c r="AA43" s="2319"/>
      <c r="AB43" s="2319"/>
      <c r="AC43" s="2303"/>
      <c r="AD43" s="2303"/>
      <c r="AE43" s="2304"/>
      <c r="AF43" s="2305" t="s">
        <v>441</v>
      </c>
      <c r="AG43" s="2302" t="s">
        <v>440</v>
      </c>
      <c r="AH43" s="2319"/>
      <c r="AI43" s="2319"/>
      <c r="AJ43" s="2319"/>
      <c r="AK43" s="2319"/>
      <c r="AL43" s="2303"/>
      <c r="AM43" s="2303"/>
      <c r="AN43" s="2304"/>
      <c r="AO43" s="2305" t="s">
        <v>442</v>
      </c>
      <c r="AP43" s="2308" t="s">
        <v>443</v>
      </c>
      <c r="AQ43" s="2155"/>
      <c r="AW43" s="1164">
        <v>14</v>
      </c>
    </row>
    <row customHeight="1" ht="35.699999999999996">
      <c r="R44" s="385"/>
      <c r="S44" s="385"/>
      <c r="T44" s="385"/>
      <c r="U44" s="2301"/>
      <c r="V44" s="2237"/>
      <c r="W44" s="1040"/>
      <c r="X44" s="2322" t="s">
        <v>466</v>
      </c>
      <c r="Y44" s="2340" t="s">
        <v>467</v>
      </c>
      <c r="Z44" s="2340"/>
      <c r="AA44" s="2340"/>
      <c r="AB44" s="2340"/>
      <c r="AC44" s="2322" t="s">
        <v>447</v>
      </c>
      <c r="AD44" s="2643"/>
      <c r="AE44" s="2342"/>
      <c r="AF44" s="2306"/>
      <c r="AG44" s="2322" t="s">
        <v>466</v>
      </c>
      <c r="AH44" s="2340" t="s">
        <v>467</v>
      </c>
      <c r="AI44" s="2340"/>
      <c r="AJ44" s="2340"/>
      <c r="AK44" s="2340"/>
      <c r="AL44" s="2322" t="s">
        <v>447</v>
      </c>
      <c r="AM44" s="2643"/>
      <c r="AN44" s="2342"/>
      <c r="AO44" s="2306"/>
      <c r="AP44" s="2309"/>
      <c r="AQ44" s="2155"/>
      <c r="AW44" s="1164">
        <v>34</v>
      </c>
    </row>
    <row customHeight="1" ht="14.699999999999998">
      <c r="R45" s="385"/>
      <c r="S45" s="385"/>
      <c r="T45" s="385"/>
      <c r="U45" s="2301"/>
      <c r="V45" s="2237"/>
      <c r="W45" s="1040"/>
      <c r="X45" s="2353"/>
      <c r="Y45" s="2345" t="s">
        <v>468</v>
      </c>
      <c r="Z45" s="2298" t="s">
        <v>469</v>
      </c>
      <c r="AA45" s="2348"/>
      <c r="AB45" s="2299"/>
      <c r="AC45" s="2323"/>
      <c r="AD45" s="2644"/>
      <c r="AE45" s="2344"/>
      <c r="AF45" s="2306"/>
      <c r="AG45" s="2353"/>
      <c r="AH45" s="2345" t="s">
        <v>468</v>
      </c>
      <c r="AI45" s="2298" t="s">
        <v>469</v>
      </c>
      <c r="AJ45" s="2348"/>
      <c r="AK45" s="2299"/>
      <c r="AL45" s="2323"/>
      <c r="AM45" s="2644"/>
      <c r="AN45" s="2344"/>
      <c r="AO45" s="2306"/>
      <c r="AP45" s="2309"/>
      <c r="AQ45" s="2155"/>
      <c r="AW45" s="1164">
        <v>14</v>
      </c>
    </row>
    <row customHeight="1" ht="27.299999999999997">
      <c r="R46" s="385"/>
      <c r="S46" s="385"/>
      <c r="T46" s="385"/>
      <c r="U46" s="2301"/>
      <c r="V46" s="2237"/>
      <c r="W46" s="1040"/>
      <c r="X46" s="2353"/>
      <c r="Y46" s="2346"/>
      <c r="Z46" s="2345" t="s">
        <v>470</v>
      </c>
      <c r="AA46" s="2298" t="s">
        <v>471</v>
      </c>
      <c r="AB46" s="2299"/>
      <c r="AC46" s="2345" t="s">
        <v>457</v>
      </c>
      <c r="AD46" s="2349" t="s">
        <v>458</v>
      </c>
      <c r="AE46" s="2350"/>
      <c r="AF46" s="2306"/>
      <c r="AG46" s="2353"/>
      <c r="AH46" s="2346"/>
      <c r="AI46" s="2345" t="s">
        <v>470</v>
      </c>
      <c r="AJ46" s="2298" t="s">
        <v>471</v>
      </c>
      <c r="AK46" s="2299"/>
      <c r="AL46" s="2345" t="s">
        <v>457</v>
      </c>
      <c r="AM46" s="2349" t="s">
        <v>458</v>
      </c>
      <c r="AN46" s="2350"/>
      <c r="AO46" s="2306"/>
      <c r="AP46" s="2309"/>
      <c r="AQ46" s="2155"/>
      <c r="AW46" s="1164">
        <v>26</v>
      </c>
    </row>
    <row customHeight="1" ht="65.25">
      <c r="A47" s="1268"/>
      <c r="B47" s="1268" t="s">
        <v>152</v>
      </c>
      <c r="C47" s="1268" t="s">
        <v>153</v>
      </c>
      <c r="D47" s="1268" t="s">
        <v>154</v>
      </c>
      <c r="E47" s="1319" t="s">
        <v>448</v>
      </c>
      <c r="F47" s="1319" t="s">
        <v>449</v>
      </c>
      <c r="G47" s="1319" t="s">
        <v>450</v>
      </c>
      <c r="H47" s="1319" t="s">
        <v>451</v>
      </c>
      <c r="I47" s="1319" t="s">
        <v>452</v>
      </c>
      <c r="J47" s="1319" t="s">
        <v>453</v>
      </c>
      <c r="K47" s="1319" t="s">
        <v>454</v>
      </c>
      <c r="L47" s="1319" t="s">
        <v>472</v>
      </c>
      <c r="M47" s="1319" t="s">
        <v>433</v>
      </c>
      <c r="R47" s="385"/>
      <c r="S47" s="385"/>
      <c r="T47" s="385"/>
      <c r="U47" s="2301"/>
      <c r="V47" s="2237"/>
      <c r="W47" s="311"/>
      <c r="X47" s="2323"/>
      <c r="Y47" s="2347"/>
      <c r="Z47" s="2347"/>
      <c r="AA47" s="1231" t="s">
        <v>473</v>
      </c>
      <c r="AB47" s="1231" t="s">
        <v>474</v>
      </c>
      <c r="AC47" s="2347"/>
      <c r="AD47" s="2351"/>
      <c r="AE47" s="2352"/>
      <c r="AF47" s="2307"/>
      <c r="AG47" s="2323"/>
      <c r="AH47" s="2347"/>
      <c r="AI47" s="2347"/>
      <c r="AJ47" s="1231" t="s">
        <v>473</v>
      </c>
      <c r="AK47" s="1231" t="s">
        <v>474</v>
      </c>
      <c r="AL47" s="2347"/>
      <c r="AM47" s="2351"/>
      <c r="AN47" s="2352"/>
      <c r="AO47" s="2307"/>
      <c r="AP47" s="2310"/>
      <c r="AQ47" s="2155"/>
      <c r="AW47" s="1164">
        <v>62</v>
      </c>
    </row>
    <row s="1650" customFormat="1" customHeight="1" ht="11.25" hidden="1">
      <c r="A48" s="1268"/>
      <c r="B48" s="1268"/>
      <c r="C48" s="1268"/>
      <c r="D48" s="1268"/>
      <c r="E48" s="1268"/>
      <c r="F48" s="1268"/>
      <c r="G48" s="1268"/>
      <c r="H48" s="1268"/>
      <c r="I48" s="1268"/>
      <c r="J48" s="1268"/>
      <c r="K48" s="1268"/>
      <c r="L48" s="1268"/>
      <c r="M48" s="1319"/>
      <c r="N48" s="1337"/>
      <c r="O48" s="1337"/>
      <c r="P48" s="1337"/>
      <c r="Q48" s="1255"/>
      <c r="R48" s="1256"/>
      <c r="S48" s="1263">
        <v>1</v>
      </c>
      <c r="T48" s="1263"/>
      <c r="U48" s="1286" t="s">
        <v>118</v>
      </c>
      <c r="V48" s="1264" t="s">
        <v>103</v>
      </c>
      <c r="W48" s="1254" t="str">
        <f>OFFSET(W48,0,-1)</f>
        <v>2</v>
      </c>
      <c r="X48" s="1344">
        <f>OFFSET(X48,0,-1)+1</f>
        <v>3</v>
      </c>
      <c r="Y48" s="1350"/>
      <c r="Z48" s="1350"/>
      <c r="AA48" s="1350">
        <f>OFFSET(AA48,0,-1)+1</f>
        <v>1</v>
      </c>
      <c r="AB48" s="1350">
        <f>OFFSET(AB48,0,-1)+1</f>
        <v>2</v>
      </c>
      <c r="AC48" s="1344">
        <f>OFFSET(AC48,0,-1)+1</f>
        <v>3</v>
      </c>
      <c r="AD48" s="2300">
        <f>OFFSET(AD48,0,-1)+1</f>
        <v>4</v>
      </c>
      <c r="AE48" s="2300"/>
      <c r="AF48" s="1344">
        <f>OFFSET(AF48,0,-2)+1</f>
        <v>5</v>
      </c>
      <c r="AG48" s="1344">
        <f>OFFSET(AG48,0,-1)+1</f>
        <v>6</v>
      </c>
      <c r="AH48" s="1344"/>
      <c r="AI48" s="1344"/>
      <c r="AJ48" s="1344">
        <f>OFFSET(AJ48,0,-1)+1</f>
        <v>1</v>
      </c>
      <c r="AK48" s="1344">
        <f>OFFSET(AK48,0,-1)+1</f>
        <v>2</v>
      </c>
      <c r="AL48" s="1344">
        <f>OFFSET(AL48,0,-1)+1</f>
        <v>3</v>
      </c>
      <c r="AM48" s="2300">
        <f>OFFSET(AM48,0,-1)+1</f>
        <v>4</v>
      </c>
      <c r="AN48" s="2300"/>
      <c r="AO48" s="1344">
        <f>OFFSET(AO48,0,-2)+1</f>
        <v>5</v>
      </c>
      <c r="AP48" s="1254">
        <f>OFFSET(AP48,0,-1)</f>
        <v>5</v>
      </c>
      <c r="AQ48" s="1344">
        <f>OFFSET(AQ48,0,-1)+1</f>
        <v>6</v>
      </c>
      <c r="AR48" s="520"/>
      <c r="AS48" s="520"/>
      <c r="AT48" s="520"/>
      <c r="AU48" s="520"/>
      <c r="AV48" s="520"/>
      <c r="AW48" s="505">
        <v>0</v>
      </c>
    </row>
    <row customHeight="1" ht="22.049999999999997">
      <c r="A49" s="1276" t="s">
        <v>191</v>
      </c>
      <c r="B49" s="1276"/>
      <c r="C49" s="1276"/>
      <c r="D49" s="1276"/>
      <c r="E49" s="2317">
        <v>1</v>
      </c>
      <c r="F49" s="1276"/>
      <c r="G49" s="1276"/>
      <c r="H49" s="1276"/>
      <c r="I49" s="1276"/>
      <c r="J49" s="1276"/>
      <c r="K49" s="1276"/>
      <c r="L49" s="1276"/>
      <c r="M49" s="1319"/>
      <c r="N49" s="697"/>
      <c r="O49" s="697"/>
      <c r="P49" s="697"/>
      <c r="Q49" s="370"/>
      <c r="R49" s="369"/>
      <c r="S49" s="369"/>
      <c r="T49" s="364"/>
      <c r="U49" s="1345">
        <f>INDEX(PT_DIFFERENTIATION_NUM_NTAR,MATCH(A49,PT_DIFFERENTIATION_NTAR_ID,0))</f>
        <v>0</v>
      </c>
      <c r="V49" s="307" t="s">
        <v>140</v>
      </c>
      <c r="W49" s="309"/>
      <c r="X49" s="2270"/>
      <c r="Y49" s="2271"/>
      <c r="Z49" s="2271"/>
      <c r="AA49" s="2271"/>
      <c r="AB49" s="2271"/>
      <c r="AC49" s="2271"/>
      <c r="AD49" s="2271"/>
      <c r="AE49" s="2271"/>
      <c r="AF49" s="2272"/>
      <c r="AG49" s="2270" t="str">
        <f>INDEX(PT_DIFFERENTIATION_NTAR,MATCH(A49,PT_DIFFERENTIATION_NTAR_ID,0))</f>
        <v/>
      </c>
      <c r="AH49" s="2271"/>
      <c r="AI49" s="2271"/>
      <c r="AJ49" s="2271"/>
      <c r="AK49" s="2271"/>
      <c r="AL49" s="2271"/>
      <c r="AM49" s="2271"/>
      <c r="AN49" s="2271"/>
      <c r="AO49" s="2271"/>
      <c r="AP49" s="2272"/>
      <c r="AQ49"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9"/>
      <c r="AT49" s="509" t="str">
        <f>IF(V49="","",V49)</f>
        <v>Наименование тарифа</v>
      </c>
      <c r="AU49" s="509"/>
      <c r="AV49" s="509"/>
      <c r="AW49" s="1164">
        <v>21</v>
      </c>
    </row>
    <row customHeight="1" ht="22.049999999999997">
      <c r="A50" s="1276" t="s">
        <v>191</v>
      </c>
      <c r="B50" s="1276" t="s">
        <v>192</v>
      </c>
      <c r="C50" s="1276"/>
      <c r="D50" s="1276"/>
      <c r="E50" s="2318"/>
      <c r="F50" s="2317">
        <v>1</v>
      </c>
      <c r="G50" s="1276"/>
      <c r="H50" s="1276"/>
      <c r="I50" s="1276"/>
      <c r="J50" s="1276"/>
      <c r="K50" s="1276"/>
      <c r="L50" s="1276"/>
      <c r="M50" s="1319"/>
      <c r="N50" s="697"/>
      <c r="O50" s="697"/>
      <c r="P50" s="697"/>
      <c r="Q50" s="1341"/>
      <c r="R50" s="361"/>
      <c r="S50" s="518"/>
      <c r="T50" s="362"/>
      <c r="U50" s="1345" t="str">
        <f>INDEX(PT_DIFFERENTIATION_NUM_TER,MATCH(B50,PT_DIFFERENTIATION_TER_ID,0))</f>
        <v>.</v>
      </c>
      <c r="V50" s="317" t="s">
        <v>412</v>
      </c>
      <c r="W50" s="309"/>
      <c r="X50" s="2270"/>
      <c r="Y50" s="2271"/>
      <c r="Z50" s="2271"/>
      <c r="AA50" s="2271"/>
      <c r="AB50" s="2271"/>
      <c r="AC50" s="2271"/>
      <c r="AD50" s="2271"/>
      <c r="AE50" s="2271"/>
      <c r="AF50" s="2272"/>
      <c r="AG50" s="2270" t="str">
        <f>INDEX(PT_DIFFERENTIATION_TER,MATCH(B50,PT_DIFFERENTIATION_TER_ID,0))</f>
        <v/>
      </c>
      <c r="AH50" s="2271"/>
      <c r="AI50" s="2271"/>
      <c r="AJ50" s="2271"/>
      <c r="AK50" s="2271"/>
      <c r="AL50" s="2271"/>
      <c r="AM50" s="2271"/>
      <c r="AN50" s="2271"/>
      <c r="AO50" s="2271"/>
      <c r="AP50" s="2272"/>
      <c r="AQ50" s="1267" t="s">
        <v>413</v>
      </c>
      <c r="AS50" s="509"/>
      <c r="AT50" s="509" t="str">
        <f>IF(V50="","",V50)</f>
        <v>Территория действия тарифа</v>
      </c>
      <c r="AU50" s="509"/>
      <c r="AV50" s="509"/>
      <c r="AW50" s="1164">
        <v>21</v>
      </c>
    </row>
    <row customHeight="1" ht="24">
      <c r="A51" s="1276" t="s">
        <v>191</v>
      </c>
      <c r="B51" s="1276" t="s">
        <v>192</v>
      </c>
      <c r="C51" s="1276" t="s">
        <v>193</v>
      </c>
      <c r="D51" s="1276"/>
      <c r="E51" s="2318"/>
      <c r="F51" s="2318"/>
      <c r="G51" s="2317">
        <v>1</v>
      </c>
      <c r="H51" s="1276"/>
      <c r="I51" s="1276"/>
      <c r="J51" s="1276"/>
      <c r="K51" s="1276"/>
      <c r="L51" s="1276"/>
      <c r="M51" s="1319"/>
      <c r="N51" s="697"/>
      <c r="O51" s="697"/>
      <c r="P51" s="697"/>
      <c r="Q51" s="363"/>
      <c r="R51" s="361"/>
      <c r="S51" s="518"/>
      <c r="T51" s="362"/>
      <c r="U51" s="1345" t="str">
        <f>INDEX(PT_DIFFERENTIATION_NUM_CS,MATCH(C51,PT_DIFFERENTIATION_CS_ID,0))</f>
        <v>..</v>
      </c>
      <c r="V51" s="318" t="s">
        <v>414</v>
      </c>
      <c r="W51" s="309"/>
      <c r="X51" s="2270"/>
      <c r="Y51" s="2271"/>
      <c r="Z51" s="2271"/>
      <c r="AA51" s="2271"/>
      <c r="AB51" s="2271"/>
      <c r="AC51" s="2271"/>
      <c r="AD51" s="2271"/>
      <c r="AE51" s="2271"/>
      <c r="AF51" s="2272"/>
      <c r="AG51" s="2270" t="str">
        <f>INDEX(PT_DIFFERENTIATION_CS,MATCH(C51,PT_DIFFERENTIATION_CS_ID,0))</f>
        <v/>
      </c>
      <c r="AH51" s="2271"/>
      <c r="AI51" s="2271"/>
      <c r="AJ51" s="2271"/>
      <c r="AK51" s="2271"/>
      <c r="AL51" s="2271"/>
      <c r="AM51" s="2271"/>
      <c r="AN51" s="2271"/>
      <c r="AO51" s="2271"/>
      <c r="AP51" s="2272"/>
      <c r="AQ51" s="1267" t="s">
        <v>415</v>
      </c>
      <c r="AS51" s="509"/>
      <c r="AT51" s="509" t="str">
        <f>IF(V51="","",V51)</f>
        <v>Наименование системы теплоснабжения </v>
      </c>
      <c r="AU51" s="509"/>
      <c r="AV51" s="509"/>
      <c r="AW51" s="1164">
        <v>23</v>
      </c>
    </row>
    <row customHeight="1" ht="22.049999999999997">
      <c r="A52" s="1276" t="s">
        <v>191</v>
      </c>
      <c r="B52" s="1276" t="s">
        <v>192</v>
      </c>
      <c r="C52" s="1276" t="s">
        <v>193</v>
      </c>
      <c r="D52" s="1276" t="s">
        <v>194</v>
      </c>
      <c r="E52" s="2318"/>
      <c r="F52" s="2318"/>
      <c r="G52" s="2318"/>
      <c r="H52" s="2338">
        <v>1</v>
      </c>
      <c r="I52" s="1276"/>
      <c r="J52" s="1276"/>
      <c r="K52" s="1276"/>
      <c r="L52" s="1276"/>
      <c r="M52" s="1319"/>
      <c r="N52" s="697"/>
      <c r="O52" s="697"/>
      <c r="P52" s="697"/>
      <c r="Q52" s="363"/>
      <c r="R52" s="361"/>
      <c r="S52" s="518"/>
      <c r="T52" s="362"/>
      <c r="U52" s="1345" t="str">
        <f>INDEX(PT_DIFFERENTIATION_NUM_IST_TE,MATCH(D52,PT_DIFFERENTIATION_IST_TE_ID,0))</f>
        <v>...</v>
      </c>
      <c r="V52" s="319" t="s">
        <v>416</v>
      </c>
      <c r="W52" s="309"/>
      <c r="X52" s="2270"/>
      <c r="Y52" s="2271"/>
      <c r="Z52" s="2271"/>
      <c r="AA52" s="2271"/>
      <c r="AB52" s="2271"/>
      <c r="AC52" s="2271"/>
      <c r="AD52" s="2271"/>
      <c r="AE52" s="2271"/>
      <c r="AF52" s="2272"/>
      <c r="AG52" s="2270" t="str">
        <f>INDEX(PT_DIFFERENTIATION_IST_TE,MATCH(D52,PT_DIFFERENTIATION_IST_TE_ID,0))</f>
        <v/>
      </c>
      <c r="AH52" s="2271"/>
      <c r="AI52" s="2271"/>
      <c r="AJ52" s="2271"/>
      <c r="AK52" s="2271"/>
      <c r="AL52" s="2271"/>
      <c r="AM52" s="2271"/>
      <c r="AN52" s="2271"/>
      <c r="AO52" s="2271"/>
      <c r="AP52" s="2272"/>
      <c r="AQ52" s="1267" t="s">
        <v>417</v>
      </c>
      <c r="AS52" s="509"/>
      <c r="AT52" s="509" t="str">
        <f>IF(V52="","",V52)</f>
        <v>Источник тепловой энергии  </v>
      </c>
      <c r="AU52" s="509"/>
      <c r="AV52" s="509"/>
      <c r="AW52" s="1164">
        <v>21</v>
      </c>
    </row>
    <row s="1651" customFormat="1" customHeight="1" ht="0">
      <c r="A53" s="1384" t="s">
        <v>191</v>
      </c>
      <c r="B53" s="1384" t="s">
        <v>192</v>
      </c>
      <c r="C53" s="1384" t="s">
        <v>193</v>
      </c>
      <c r="D53" s="1384" t="s">
        <v>194</v>
      </c>
      <c r="E53" s="2318"/>
      <c r="F53" s="2318"/>
      <c r="G53" s="2318"/>
      <c r="H53" s="2339"/>
      <c r="I53" s="2155" t="str">
        <f>U52&amp;".1"</f>
        <v>....1</v>
      </c>
      <c r="J53" s="1384"/>
      <c r="K53" s="1384"/>
      <c r="L53" s="1384"/>
      <c r="M53" s="1390" t="s">
        <v>418</v>
      </c>
      <c r="N53" s="1255"/>
      <c r="O53" s="1255"/>
      <c r="P53" s="1255"/>
      <c r="Q53" s="2285">
        <v>1</v>
      </c>
      <c r="R53" s="1340"/>
      <c r="S53" s="1340"/>
      <c r="T53" s="365"/>
      <c r="U53" s="1051"/>
      <c r="V53" s="1392"/>
      <c r="W53" s="1393"/>
      <c r="X53" s="2324"/>
      <c r="Y53" s="2325"/>
      <c r="Z53" s="2325"/>
      <c r="AA53" s="2325"/>
      <c r="AB53" s="2325"/>
      <c r="AC53" s="2325"/>
      <c r="AD53" s="2325"/>
      <c r="AE53" s="2325"/>
      <c r="AF53" s="2326"/>
      <c r="AG53" s="2324"/>
      <c r="AH53" s="2325"/>
      <c r="AI53" s="2325"/>
      <c r="AJ53" s="2325"/>
      <c r="AK53" s="2325"/>
      <c r="AL53" s="2325"/>
      <c r="AM53" s="2325"/>
      <c r="AN53" s="2325"/>
      <c r="AO53" s="2325"/>
      <c r="AP53" s="2326"/>
      <c r="AQ53" s="1394"/>
      <c r="AS53" s="509"/>
      <c r="AT53" s="509" t="str">
        <f>IF(V53="","",V53)</f>
        <v/>
      </c>
      <c r="AU53" s="509"/>
      <c r="AV53" s="509"/>
      <c r="AW53" s="520">
        <v>0</v>
      </c>
    </row>
    <row customHeight="1" ht="22.049999999999997">
      <c r="A54" s="1276" t="s">
        <v>191</v>
      </c>
      <c r="B54" s="1276" t="s">
        <v>192</v>
      </c>
      <c r="C54" s="1276" t="s">
        <v>193</v>
      </c>
      <c r="D54" s="1276" t="s">
        <v>194</v>
      </c>
      <c r="E54" s="2318"/>
      <c r="F54" s="2318"/>
      <c r="G54" s="2318"/>
      <c r="H54" s="2339"/>
      <c r="I54" s="2129"/>
      <c r="J54" s="2155" t="str">
        <f>I53&amp;".1"</f>
        <v>....1.1</v>
      </c>
      <c r="K54" s="1276"/>
      <c r="L54" s="1276"/>
      <c r="M54" s="1319" t="s">
        <v>421</v>
      </c>
      <c r="Q54" s="2285"/>
      <c r="R54" s="2285">
        <v>1</v>
      </c>
      <c r="S54" s="527"/>
      <c r="T54" s="366"/>
      <c r="U54" s="1345" t="str">
        <f>$J54</f>
        <v>....1.1</v>
      </c>
      <c r="V54" s="295" t="s">
        <v>422</v>
      </c>
      <c r="W54" s="309"/>
      <c r="X54" s="2273"/>
      <c r="Y54" s="2274"/>
      <c r="Z54" s="2274"/>
      <c r="AA54" s="2274"/>
      <c r="AB54" s="2274"/>
      <c r="AC54" s="2263"/>
      <c r="AD54" s="2263"/>
      <c r="AE54" s="2263"/>
      <c r="AF54" s="2336"/>
      <c r="AG54" s="2273"/>
      <c r="AH54" s="2274"/>
      <c r="AI54" s="2274"/>
      <c r="AJ54" s="2274"/>
      <c r="AK54" s="2274"/>
      <c r="AL54" s="2274"/>
      <c r="AM54" s="2274"/>
      <c r="AN54" s="2274"/>
      <c r="AO54" s="2274"/>
      <c r="AP54" s="2275"/>
      <c r="AQ54" s="1267" t="s">
        <v>423</v>
      </c>
      <c r="AS54" s="509"/>
      <c r="AT54" s="509" t="str">
        <f>IF(V54="","",V54)</f>
        <v>Группа потребителей</v>
      </c>
      <c r="AU54" s="509"/>
      <c r="AV54" s="509"/>
      <c r="AW54" s="1164">
        <v>21</v>
      </c>
    </row>
    <row customHeight="1" ht="22.049999999999997">
      <c r="A55" s="1276" t="s">
        <v>191</v>
      </c>
      <c r="B55" s="1276" t="s">
        <v>192</v>
      </c>
      <c r="C55" s="1276" t="s">
        <v>193</v>
      </c>
      <c r="D55" s="1276" t="s">
        <v>194</v>
      </c>
      <c r="E55" s="2318"/>
      <c r="F55" s="2318"/>
      <c r="G55" s="2318"/>
      <c r="H55" s="2339"/>
      <c r="I55" s="2129"/>
      <c r="J55" s="2129"/>
      <c r="K55" s="2155" t="str">
        <f>J54&amp;".1"</f>
        <v>....1.1.1</v>
      </c>
      <c r="L55" s="148"/>
      <c r="M55" s="1319" t="s">
        <v>424</v>
      </c>
      <c r="Q55" s="2285"/>
      <c r="R55" s="2285"/>
      <c r="S55" s="527">
        <v>1</v>
      </c>
      <c r="T55" s="366"/>
      <c r="U55" s="1345" t="str">
        <f>$K55</f>
        <v>....1.1.1</v>
      </c>
      <c r="V55" s="1356"/>
      <c r="W55" s="309"/>
      <c r="X55" s="760"/>
      <c r="Y55" s="760"/>
      <c r="Z55" s="760"/>
      <c r="AA55" s="760"/>
      <c r="AB55" s="1414"/>
      <c r="AC55" s="2293"/>
      <c r="AD55" s="2135" t="s">
        <v>63</v>
      </c>
      <c r="AE55" s="2293"/>
      <c r="AF55" s="2135" t="s">
        <v>63</v>
      </c>
      <c r="AG55" s="1416"/>
      <c r="AH55" s="760"/>
      <c r="AI55" s="760"/>
      <c r="AJ55" s="760"/>
      <c r="AK55" s="1266"/>
      <c r="AL55" s="2293"/>
      <c r="AM55" s="2135" t="s">
        <v>63</v>
      </c>
      <c r="AN55" s="2293"/>
      <c r="AO55" s="2135" t="s">
        <v>63</v>
      </c>
      <c r="AP55" s="1357"/>
      <c r="AQ55" s="1316" t="s">
        <v>463</v>
      </c>
      <c r="AR55" s="520">
        <f>STRCHECKDATE(X57:AP57)</f>
      </c>
      <c r="AS55" s="509"/>
      <c r="AT55" s="509" t="str">
        <f>IF(V55="","",V55)</f>
        <v/>
      </c>
      <c r="AU55" s="509"/>
      <c r="AV55" s="509"/>
      <c r="AW55" s="1164">
        <v>21</v>
      </c>
    </row>
    <row customHeight="1" ht="11.549999999999999">
      <c r="A56" s="1276" t="s">
        <v>191</v>
      </c>
      <c r="B56" s="1276" t="s">
        <v>192</v>
      </c>
      <c r="C56" s="1276" t="s">
        <v>193</v>
      </c>
      <c r="D56" s="1276" t="s">
        <v>194</v>
      </c>
      <c r="E56" s="2318"/>
      <c r="F56" s="2318"/>
      <c r="G56" s="2318"/>
      <c r="H56" s="2339"/>
      <c r="I56" s="2129"/>
      <c r="J56" s="2129"/>
      <c r="K56" s="2129"/>
      <c r="L56" s="2155" t="str">
        <f>K55&amp;".1"</f>
        <v>....1.1.1.1</v>
      </c>
      <c r="M56" s="1319"/>
      <c r="Q56" s="2285"/>
      <c r="R56" s="2285"/>
      <c r="S56" s="527">
        <v>1</v>
      </c>
      <c r="T56" s="366"/>
      <c r="U56" s="1345" t="str">
        <f>$L56</f>
        <v>....1.1.1.1</v>
      </c>
      <c r="V56" s="1400"/>
      <c r="W56" s="309"/>
      <c r="X56" s="334"/>
      <c r="Y56" s="760"/>
      <c r="Z56" s="760"/>
      <c r="AA56" s="760"/>
      <c r="AB56" s="1414"/>
      <c r="AC56" s="2337"/>
      <c r="AD56" s="2135"/>
      <c r="AE56" s="2337"/>
      <c r="AF56" s="2135"/>
      <c r="AG56" s="1416"/>
      <c r="AH56" s="760"/>
      <c r="AI56" s="760"/>
      <c r="AJ56" s="760"/>
      <c r="AK56" s="1266"/>
      <c r="AL56" s="2337"/>
      <c r="AM56" s="2135"/>
      <c r="AN56" s="2337"/>
      <c r="AO56" s="2135"/>
      <c r="AP56" s="1357"/>
      <c r="AQ56" s="2281" t="s">
        <v>464</v>
      </c>
      <c r="AR56" s="520">
        <f>STRCHECKDATE(X58:AP58)</f>
      </c>
      <c r="AS56" s="509"/>
      <c r="AT56" s="509" t="str">
        <f>IF(V56="","",V56)</f>
        <v/>
      </c>
      <c r="AU56" s="509"/>
      <c r="AV56" s="509"/>
      <c r="AW56" s="1164">
        <v>11</v>
      </c>
    </row>
    <row customHeight="1" ht="0">
      <c r="A57" s="1276" t="s">
        <v>191</v>
      </c>
      <c r="B57" s="1276" t="s">
        <v>192</v>
      </c>
      <c r="C57" s="1276" t="s">
        <v>193</v>
      </c>
      <c r="D57" s="1276" t="s">
        <v>194</v>
      </c>
      <c r="E57" s="2318"/>
      <c r="F57" s="2318"/>
      <c r="G57" s="2318"/>
      <c r="H57" s="2339"/>
      <c r="I57" s="2129"/>
      <c r="J57" s="2129"/>
      <c r="K57" s="2129"/>
      <c r="L57" s="2155"/>
      <c r="M57" s="1319"/>
      <c r="Q57" s="2285"/>
      <c r="R57" s="2285"/>
      <c r="S57" s="527"/>
      <c r="T57" s="366"/>
      <c r="U57" s="1351"/>
      <c r="V57" s="309"/>
      <c r="W57" s="309"/>
      <c r="X57" s="334"/>
      <c r="Y57" s="334"/>
      <c r="Z57" s="334"/>
      <c r="AA57" s="334"/>
      <c r="AB57" s="1415" t="str">
        <f>AC55&amp;"-"&amp;AE55</f>
        <v>-</v>
      </c>
      <c r="AC57" s="2337"/>
      <c r="AD57" s="2135"/>
      <c r="AE57" s="2337"/>
      <c r="AF57" s="2135"/>
      <c r="AG57" s="1391"/>
      <c r="AH57" s="334"/>
      <c r="AI57" s="334"/>
      <c r="AJ57" s="334"/>
      <c r="AK57" s="337" t="str">
        <f>AL55&amp;"-"&amp;AN55</f>
        <v>-</v>
      </c>
      <c r="AL57" s="2337"/>
      <c r="AM57" s="2135"/>
      <c r="AN57" s="2337"/>
      <c r="AO57" s="2135"/>
      <c r="AP57" s="1358"/>
      <c r="AQ57" s="2282"/>
      <c r="AS57" s="509"/>
      <c r="AT57" s="509" t="str">
        <f>IF(V57="","",V57)</f>
        <v/>
      </c>
      <c r="AU57" s="509"/>
      <c r="AV57" s="509"/>
      <c r="AW57" s="1164">
        <v>0</v>
      </c>
    </row>
    <row customHeight="1" ht="11.549999999999999">
      <c r="A58" s="1276" t="s">
        <v>191</v>
      </c>
      <c r="B58" s="1276" t="s">
        <v>192</v>
      </c>
      <c r="C58" s="1276" t="s">
        <v>193</v>
      </c>
      <c r="D58" s="1276" t="s">
        <v>194</v>
      </c>
      <c r="E58" s="2318"/>
      <c r="F58" s="2318"/>
      <c r="G58" s="2318"/>
      <c r="H58" s="2339"/>
      <c r="I58" s="2129"/>
      <c r="J58" s="2129"/>
      <c r="K58" s="2155"/>
      <c r="L58" s="1276"/>
      <c r="M58" s="1319"/>
      <c r="Q58" s="2285"/>
      <c r="R58" s="2285"/>
      <c r="S58" s="1340"/>
      <c r="T58" s="365"/>
      <c r="U58" s="1287"/>
      <c r="V58" s="297" t="s">
        <v>465</v>
      </c>
      <c r="W58" s="376"/>
      <c r="X58" s="376"/>
      <c r="Y58" s="376"/>
      <c r="Z58" s="376"/>
      <c r="AA58" s="376"/>
      <c r="AB58" s="376"/>
      <c r="AC58" s="2337"/>
      <c r="AD58" s="2135"/>
      <c r="AE58" s="2337"/>
      <c r="AF58" s="2135"/>
      <c r="AG58" s="376"/>
      <c r="AH58" s="376"/>
      <c r="AI58" s="376"/>
      <c r="AJ58" s="376"/>
      <c r="AK58" s="376"/>
      <c r="AL58" s="2337"/>
      <c r="AM58" s="2135"/>
      <c r="AN58" s="2337"/>
      <c r="AO58" s="2135"/>
      <c r="AP58" s="333"/>
      <c r="AQ58" s="2282"/>
      <c r="AS58" s="509"/>
      <c r="AT58" s="509" t="str">
        <f>IF(V58="","",V58)</f>
        <v>Добавить наименование поставщика</v>
      </c>
      <c r="AU58" s="509"/>
      <c r="AV58" s="509"/>
      <c r="AW58" s="1164">
        <v>11</v>
      </c>
    </row>
    <row customHeight="1" ht="11.549999999999999">
      <c r="A59" s="1276" t="s">
        <v>191</v>
      </c>
      <c r="B59" s="1276" t="s">
        <v>192</v>
      </c>
      <c r="C59" s="1276" t="s">
        <v>193</v>
      </c>
      <c r="D59" s="1276" t="s">
        <v>194</v>
      </c>
      <c r="E59" s="2318"/>
      <c r="F59" s="2318"/>
      <c r="G59" s="2318"/>
      <c r="H59" s="2339"/>
      <c r="I59" s="2129"/>
      <c r="J59" s="2155"/>
      <c r="K59" s="1276"/>
      <c r="L59" s="1276"/>
      <c r="M59" s="1319"/>
      <c r="Q59" s="2285"/>
      <c r="R59" s="2285"/>
      <c r="S59" s="1340"/>
      <c r="T59" s="365"/>
      <c r="U59" s="1287"/>
      <c r="V59" s="296" t="s">
        <v>426</v>
      </c>
      <c r="W59" s="376"/>
      <c r="X59" s="376"/>
      <c r="Y59" s="376"/>
      <c r="Z59" s="376"/>
      <c r="AA59" s="376"/>
      <c r="AB59" s="376"/>
      <c r="AC59" s="1417"/>
      <c r="AD59" s="1417"/>
      <c r="AE59" s="1417"/>
      <c r="AF59" s="1417"/>
      <c r="AG59" s="376"/>
      <c r="AH59" s="376"/>
      <c r="AI59" s="376"/>
      <c r="AJ59" s="376"/>
      <c r="AK59" s="376"/>
      <c r="AL59" s="376"/>
      <c r="AM59" s="376"/>
      <c r="AN59" s="376"/>
      <c r="AO59" s="376"/>
      <c r="AP59" s="333"/>
      <c r="AQ59" s="2283"/>
      <c r="AS59" s="509"/>
      <c r="AT59" s="509" t="str">
        <f>IF(V59="","",V59)</f>
        <v>Добавить вид теплоносителя (параметры теплоносителя)</v>
      </c>
      <c r="AU59" s="509"/>
      <c r="AV59" s="509"/>
      <c r="AW59" s="1164">
        <v>11</v>
      </c>
    </row>
    <row customHeight="1" ht="11.549999999999999">
      <c r="A60" s="1276" t="s">
        <v>191</v>
      </c>
      <c r="B60" s="1276" t="s">
        <v>192</v>
      </c>
      <c r="C60" s="1276" t="s">
        <v>193</v>
      </c>
      <c r="D60" s="1276" t="s">
        <v>194</v>
      </c>
      <c r="E60" s="2318"/>
      <c r="F60" s="2318"/>
      <c r="G60" s="2318"/>
      <c r="H60" s="2339"/>
      <c r="I60" s="2155"/>
      <c r="J60" s="1276"/>
      <c r="K60" s="1276"/>
      <c r="L60" s="1276"/>
      <c r="M60" s="1319"/>
      <c r="Q60" s="2285"/>
      <c r="R60" s="1340"/>
      <c r="S60" s="1340"/>
      <c r="T60" s="365"/>
      <c r="U60" s="1287"/>
      <c r="V60" s="374" t="s">
        <v>427</v>
      </c>
      <c r="W60" s="376"/>
      <c r="X60" s="376"/>
      <c r="Y60" s="376"/>
      <c r="Z60" s="376"/>
      <c r="AA60" s="376"/>
      <c r="AB60" s="376"/>
      <c r="AC60" s="376"/>
      <c r="AD60" s="376"/>
      <c r="AE60" s="376"/>
      <c r="AF60" s="375"/>
      <c r="AG60" s="376"/>
      <c r="AH60" s="376"/>
      <c r="AI60" s="376"/>
      <c r="AJ60" s="376"/>
      <c r="AK60" s="376"/>
      <c r="AL60" s="376"/>
      <c r="AM60" s="376"/>
      <c r="AN60" s="376"/>
      <c r="AO60" s="375"/>
      <c r="AP60" s="376"/>
      <c r="AQ60" s="312"/>
      <c r="AS60" s="509"/>
      <c r="AT60" s="509" t="str">
        <f>IF(V60="","",V60)</f>
        <v>Добавить группу потребителей</v>
      </c>
      <c r="AU60" s="509"/>
      <c r="AV60" s="509"/>
      <c r="AW60" s="1164">
        <v>11</v>
      </c>
    </row>
    <row customHeight="1" ht="0">
      <c r="A61" s="1276" t="s">
        <v>191</v>
      </c>
      <c r="B61" s="1276" t="s">
        <v>192</v>
      </c>
      <c r="C61" s="1276" t="s">
        <v>193</v>
      </c>
      <c r="D61" s="1276" t="s">
        <v>194</v>
      </c>
      <c r="E61" s="2318"/>
      <c r="F61" s="2318"/>
      <c r="G61" s="2318"/>
      <c r="H61" s="2338"/>
      <c r="I61" s="1276"/>
      <c r="J61" s="1276"/>
      <c r="K61" s="1276"/>
      <c r="L61" s="1276"/>
      <c r="M61" s="1319"/>
      <c r="N61" s="697"/>
      <c r="O61" s="697"/>
      <c r="P61" s="518"/>
      <c r="Q61" s="369"/>
      <c r="R61" s="384"/>
      <c r="S61" s="364"/>
      <c r="T61" s="369"/>
      <c r="U61" s="1395"/>
      <c r="V61" s="1396"/>
      <c r="W61" s="1397"/>
      <c r="X61" s="1397"/>
      <c r="Y61" s="1397"/>
      <c r="Z61" s="1397"/>
      <c r="AA61" s="1397"/>
      <c r="AB61" s="1397"/>
      <c r="AC61" s="1397"/>
      <c r="AD61" s="1397"/>
      <c r="AE61" s="1397"/>
      <c r="AF61" s="1397"/>
      <c r="AG61" s="1397"/>
      <c r="AH61" s="1397"/>
      <c r="AI61" s="1397"/>
      <c r="AJ61" s="1397"/>
      <c r="AK61" s="1397"/>
      <c r="AL61" s="1397"/>
      <c r="AM61" s="1397"/>
      <c r="AN61" s="1397"/>
      <c r="AO61" s="1397"/>
      <c r="AP61" s="1397"/>
      <c r="AQ61" s="1398"/>
      <c r="AS61" s="509"/>
      <c r="AT61" s="509" t="str">
        <f>IF(V61="","",V61)</f>
        <v/>
      </c>
      <c r="AU61" s="509"/>
      <c r="AV61" s="509"/>
      <c r="AW61" s="1164">
        <v>0</v>
      </c>
    </row>
    <row s="1651" customFormat="1" customHeight="1" ht="0">
      <c r="A62" s="1384" t="s">
        <v>191</v>
      </c>
      <c r="B62" s="1384" t="s">
        <v>192</v>
      </c>
      <c r="C62" s="1384" t="s">
        <v>193</v>
      </c>
      <c r="D62" s="1383"/>
      <c r="E62" s="2318"/>
      <c r="F62" s="2318"/>
      <c r="G62" s="2317"/>
      <c r="H62" s="1383"/>
      <c r="I62" s="1383"/>
      <c r="J62" s="1383"/>
      <c r="K62" s="1383"/>
      <c r="L62" s="1383"/>
      <c r="M62" s="1386"/>
      <c r="N62" s="1387"/>
      <c r="O62" s="1387"/>
      <c r="P62" s="360"/>
      <c r="Q62" s="1325"/>
      <c r="R62" s="1326"/>
      <c r="S62" s="1325"/>
      <c r="T62" s="1325"/>
      <c r="U62" s="1331"/>
      <c r="V62" s="1334" t="s">
        <v>429</v>
      </c>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S62" s="798"/>
      <c r="AT62" s="798" t="str">
        <f>IF(V62="","",V62)</f>
        <v>Добавить источник для дифференциации</v>
      </c>
      <c r="AU62" s="798"/>
      <c r="AV62" s="798"/>
      <c r="AW62" s="527">
        <v>0</v>
      </c>
    </row>
    <row s="1651" customFormat="1" customHeight="1" ht="0">
      <c r="A63" s="1384" t="s">
        <v>191</v>
      </c>
      <c r="B63" s="1384" t="s">
        <v>192</v>
      </c>
      <c r="C63" s="1383"/>
      <c r="D63" s="1383"/>
      <c r="E63" s="2318"/>
      <c r="F63" s="2317"/>
      <c r="G63" s="1383"/>
      <c r="H63" s="1383"/>
      <c r="I63" s="1383"/>
      <c r="J63" s="1383"/>
      <c r="K63" s="1383"/>
      <c r="L63" s="1383"/>
      <c r="M63" s="1386"/>
      <c r="N63" s="1388"/>
      <c r="O63" s="1388"/>
      <c r="P63" s="360"/>
      <c r="Q63" s="1325"/>
      <c r="R63" s="1326"/>
      <c r="S63" s="1325"/>
      <c r="T63" s="1325"/>
      <c r="U63" s="1331"/>
      <c r="V63" s="1334" t="s">
        <v>430</v>
      </c>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S63" s="798"/>
      <c r="AT63" s="798" t="str">
        <f>IF(V63="","",V63)</f>
        <v>Добавить централизованную систему для дифференциации</v>
      </c>
      <c r="AU63" s="798"/>
      <c r="AV63" s="798"/>
      <c r="AW63" s="527">
        <v>0</v>
      </c>
    </row>
    <row s="1651" customFormat="1" customHeight="1" ht="0">
      <c r="A64" s="1384" t="s">
        <v>191</v>
      </c>
      <c r="B64" s="1384"/>
      <c r="C64" s="1384"/>
      <c r="D64" s="1384"/>
      <c r="E64" s="2317"/>
      <c r="F64" s="1384"/>
      <c r="G64" s="1384"/>
      <c r="H64" s="1384"/>
      <c r="I64" s="1384"/>
      <c r="J64" s="1384"/>
      <c r="K64" s="1384"/>
      <c r="L64" s="1384"/>
      <c r="M64" s="1390"/>
      <c r="N64" s="1388"/>
      <c r="O64" s="1388"/>
      <c r="P64" s="360"/>
      <c r="Q64" s="389"/>
      <c r="R64" s="1353"/>
      <c r="S64" s="389"/>
      <c r="T64" s="389"/>
      <c r="U64" s="1331"/>
      <c r="V64" s="1334" t="s">
        <v>431</v>
      </c>
      <c r="W64" s="1333"/>
      <c r="X64" s="1333"/>
      <c r="Y64" s="1333"/>
      <c r="Z64" s="1333"/>
      <c r="AA64" s="1333"/>
      <c r="AB64" s="1333"/>
      <c r="AC64" s="1333"/>
      <c r="AD64" s="1333"/>
      <c r="AE64" s="1333"/>
      <c r="AF64" s="1333"/>
      <c r="AG64" s="1333"/>
      <c r="AH64" s="1333"/>
      <c r="AI64" s="1333"/>
      <c r="AJ64" s="1333"/>
      <c r="AK64" s="1333"/>
      <c r="AL64" s="1333"/>
      <c r="AM64" s="1333"/>
      <c r="AN64" s="1333"/>
      <c r="AO64" s="1333"/>
      <c r="AP64" s="1333"/>
      <c r="AQ64" s="1333"/>
      <c r="AS64" s="509"/>
      <c r="AT64" s="509" t="str">
        <f>IF(V64="","",V64)</f>
        <v>Добавить территорию для дифференциации</v>
      </c>
      <c r="AU64" s="509"/>
      <c r="AV64" s="509"/>
      <c r="AW64" s="520">
        <v>0</v>
      </c>
    </row>
    <row s="1651" customFormat="1" customHeight="1" ht="4.2">
      <c r="A65" s="1383"/>
      <c r="B65" s="1383"/>
      <c r="C65" s="1383"/>
      <c r="D65" s="1383"/>
      <c r="E65" s="1384"/>
      <c r="F65" s="1383"/>
      <c r="G65" s="1383"/>
      <c r="H65" s="1383"/>
      <c r="I65" s="1383"/>
      <c r="J65" s="1383"/>
      <c r="K65" s="1383"/>
      <c r="L65" s="1383"/>
      <c r="M65" s="1386"/>
      <c r="N65" s="1388"/>
      <c r="O65" s="1388"/>
      <c r="P65" s="360"/>
      <c r="Q65" s="1325"/>
      <c r="R65" s="1326"/>
      <c r="S65" s="1325"/>
      <c r="T65" s="1325"/>
      <c r="U65" s="1331"/>
      <c r="V65" s="1334" t="s">
        <v>459</v>
      </c>
      <c r="W65" s="1333"/>
      <c r="X65" s="1333"/>
      <c r="Y65" s="1333"/>
      <c r="Z65" s="1333"/>
      <c r="AA65" s="1333"/>
      <c r="AB65" s="1333"/>
      <c r="AC65" s="1333"/>
      <c r="AD65" s="1333"/>
      <c r="AE65" s="1333"/>
      <c r="AF65" s="1333"/>
      <c r="AG65" s="1333"/>
      <c r="AH65" s="1333"/>
      <c r="AI65" s="1333"/>
      <c r="AJ65" s="1333"/>
      <c r="AK65" s="1333"/>
      <c r="AL65" s="1333"/>
      <c r="AM65" s="1333"/>
      <c r="AN65" s="1333"/>
      <c r="AO65" s="1333"/>
      <c r="AP65" s="1333"/>
      <c r="AQ65" s="1333"/>
      <c r="AS65" s="798"/>
      <c r="AT65" s="798" t="str">
        <f>IF(V65="","",V65)</f>
        <v>Добавить наименование тарифа</v>
      </c>
      <c r="AU65" s="798"/>
      <c r="AV65" s="798"/>
      <c r="AW65" s="527">
        <v>4</v>
      </c>
    </row>
    <row customHeight="1" ht="11.549999999999999">
      <c r="N66" s="1164"/>
      <c r="O66" s="1164"/>
      <c r="P66" s="518"/>
      <c r="Q66" s="1164"/>
      <c r="R66" s="1164"/>
      <c r="S66" s="1164"/>
      <c r="T66" s="1164"/>
      <c r="U66" s="1164"/>
      <c r="AR66" s="1164"/>
      <c r="AS66" s="1164"/>
      <c r="AT66" s="1164"/>
      <c r="AU66" s="1164"/>
      <c r="AV66" s="1164"/>
      <c r="AW66" s="1164">
        <v>11</v>
      </c>
    </row>
    <row customHeight="1" ht="35.699999999999996">
      <c r="P67" s="518"/>
      <c r="U67" s="1262"/>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W67" s="1164">
        <v>34</v>
      </c>
    </row>
    <row customHeight="1" ht="21">
      <c r="P68" s="518"/>
      <c r="V68" s="2313"/>
      <c r="W68" s="2313"/>
      <c r="X68" s="2313"/>
      <c r="Y68" s="2313"/>
      <c r="Z68" s="2313"/>
      <c r="AA68" s="2313"/>
      <c r="AB68" s="2313"/>
      <c r="AC68" s="2313"/>
      <c r="AD68" s="2313"/>
      <c r="AE68" s="2313"/>
      <c r="AF68" s="2313"/>
      <c r="AG68" s="2313"/>
      <c r="AH68" s="2313"/>
      <c r="AI68" s="2313"/>
      <c r="AJ68" s="2313"/>
      <c r="AK68" s="2313"/>
      <c r="AL68" s="2313"/>
      <c r="AM68" s="2313"/>
      <c r="AN68" s="2313"/>
      <c r="AO68" s="2313"/>
      <c r="AP68" s="2313"/>
      <c r="AQ68" s="2313"/>
      <c r="AW68" s="1164">
        <v>20</v>
      </c>
    </row>
    <row customHeight="1" ht="14.699999999999998">
      <c r="P69" s="518"/>
      <c r="AW69" s="1164">
        <v>14</v>
      </c>
    </row>
    <row customHeight="1" ht="28.5">
      <c r="P70" s="518"/>
      <c r="V70" s="2313"/>
      <c r="W70" s="2313"/>
      <c r="X70" s="2313"/>
      <c r="Y70" s="2313"/>
      <c r="Z70" s="2313"/>
      <c r="AA70" s="2313"/>
      <c r="AB70" s="2313"/>
      <c r="AC70" s="2313"/>
      <c r="AD70" s="2313"/>
      <c r="AE70" s="2313"/>
      <c r="AF70" s="2313"/>
      <c r="AG70" s="2313"/>
      <c r="AH70" s="2313"/>
      <c r="AI70" s="2313"/>
      <c r="AJ70" s="2313"/>
      <c r="AK70" s="2313"/>
      <c r="AL70" s="2313"/>
      <c r="AM70" s="2313"/>
      <c r="AN70" s="2313"/>
      <c r="AO70" s="2313"/>
      <c r="AP70" s="2313"/>
      <c r="AQ70" s="2313"/>
      <c r="AW70" s="1164">
        <v>27</v>
      </c>
    </row>
    <row customHeight="1" ht="18.75">
      <c r="P71" s="518"/>
      <c r="V71" s="2313"/>
      <c r="W71" s="2313"/>
      <c r="X71" s="2313"/>
      <c r="Y71" s="2313"/>
      <c r="Z71" s="2313"/>
      <c r="AA71" s="2313"/>
      <c r="AB71" s="2313"/>
      <c r="AC71" s="2313"/>
      <c r="AD71" s="2313"/>
      <c r="AE71" s="2313"/>
      <c r="AF71" s="2313"/>
      <c r="AG71" s="2313"/>
      <c r="AH71" s="2313"/>
      <c r="AI71" s="2313"/>
      <c r="AJ71" s="2313"/>
      <c r="AK71" s="2313"/>
      <c r="AL71" s="2313"/>
      <c r="AM71" s="2313"/>
      <c r="AN71" s="2313"/>
      <c r="AO71" s="2313"/>
      <c r="AP71" s="2313"/>
      <c r="AQ71" s="2313"/>
      <c r="AW71" s="1164">
        <v>18</v>
      </c>
    </row>
    <row customHeight="1" ht="22.5" hidden="1">
      <c r="A72" s="1164" t="s">
        <v>83</v>
      </c>
      <c r="B72" s="1164">
        <v>0</v>
      </c>
      <c r="C72" s="1164">
        <v>0</v>
      </c>
      <c r="D72" s="1164">
        <v>0</v>
      </c>
      <c r="E72" s="1164">
        <v>0</v>
      </c>
      <c r="F72" s="1164">
        <v>0</v>
      </c>
      <c r="G72" s="1164">
        <v>0</v>
      </c>
      <c r="H72" s="1164">
        <v>0</v>
      </c>
      <c r="I72" s="1164">
        <v>0</v>
      </c>
      <c r="J72" s="1164">
        <v>0</v>
      </c>
      <c r="K72" s="1164">
        <v>0</v>
      </c>
      <c r="L72" s="1164">
        <v>0</v>
      </c>
      <c r="M72" s="1336">
        <v>0</v>
      </c>
      <c r="N72" s="1337">
        <v>0</v>
      </c>
      <c r="O72" s="1337">
        <v>0</v>
      </c>
      <c r="P72" s="1337">
        <v>0</v>
      </c>
      <c r="Q72" s="1337">
        <v>0</v>
      </c>
      <c r="R72" s="353">
        <v>3</v>
      </c>
      <c r="S72" s="353">
        <v>3</v>
      </c>
      <c r="T72" s="353">
        <v>3</v>
      </c>
      <c r="U72" s="590">
        <v>12</v>
      </c>
      <c r="V72" s="1164">
        <v>31</v>
      </c>
      <c r="W72" s="1164">
        <v>0</v>
      </c>
      <c r="X72" s="1164">
        <v>0</v>
      </c>
      <c r="Y72" s="1164">
        <v>0</v>
      </c>
      <c r="Z72" s="1164">
        <v>0</v>
      </c>
      <c r="AA72" s="1164">
        <v>0</v>
      </c>
      <c r="AB72" s="1164">
        <v>0</v>
      </c>
      <c r="AC72" s="1164">
        <v>0</v>
      </c>
      <c r="AD72" s="1164">
        <v>0</v>
      </c>
      <c r="AE72" s="1164">
        <v>0</v>
      </c>
      <c r="AF72" s="1164">
        <v>0</v>
      </c>
      <c r="AG72" s="1164">
        <v>21</v>
      </c>
      <c r="AH72" s="1164">
        <v>21</v>
      </c>
      <c r="AI72" s="1164">
        <v>21</v>
      </c>
      <c r="AJ72" s="1164">
        <v>21</v>
      </c>
      <c r="AK72" s="1164">
        <v>21</v>
      </c>
      <c r="AL72" s="1164">
        <v>11</v>
      </c>
      <c r="AM72" s="1164">
        <v>3</v>
      </c>
      <c r="AN72" s="1164">
        <v>11</v>
      </c>
      <c r="AO72" s="1164">
        <v>8</v>
      </c>
      <c r="AP72" s="1164">
        <v>4</v>
      </c>
      <c r="AQ72" s="1164">
        <v>115</v>
      </c>
      <c r="AR72" s="520">
        <v>10</v>
      </c>
      <c r="AS72" s="520">
        <v>10</v>
      </c>
      <c r="AT72" s="520">
        <v>10</v>
      </c>
      <c r="AU72" s="520">
        <v>10</v>
      </c>
      <c r="AV72" s="520">
        <v>10</v>
      </c>
      <c r="AW72" s="1164">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67EFF3E2-24C5-C03A-179B-0.A8B7BDA3}" mc:Ignorable="x14ac xr xr2 xr3">
  <sheetPr>
    <tabColor rgb="FFCCCCFF"/>
  </sheetPr>
  <dimension ref="A1:Q79"/>
  <sheetViews>
    <sheetView topLeftCell="C14" showGridLines="0" zoomScale="90" workbookViewId="0">
      <selection activeCell="I60" sqref="I60"/>
    </sheetView>
  </sheetViews>
  <sheetFormatPr defaultColWidth="9.140625" customHeight="1" defaultRowHeight="11.25"/>
  <cols>
    <col min="1" max="1" style="796" width="10.7109375" hidden="1" customWidth="1"/>
    <col min="2" max="2" style="741" width="10.7109375" hidden="1" customWidth="1"/>
    <col min="3" max="3" style="539" width="3.00390625" customWidth="1"/>
    <col min="4" max="4" style="1644" width="1.00390625" customWidth="1"/>
    <col min="5" max="6" style="1644" width="55.00390625" customWidth="1"/>
    <col min="7" max="7" style="2153" width="1.00390625" customWidth="1"/>
    <col min="8" max="8" style="1644" width="18.00390625" hidden="1" customWidth="1"/>
    <col min="9" max="9" style="540" width="59.00390625" customWidth="1"/>
    <col min="10" max="10" style="1375" width="52.140625" hidden="1" customWidth="1"/>
    <col min="11" max="11" style="1644" width="8.00390625" customWidth="1"/>
    <col min="12" max="12" style="1644" width="77.00390625" customWidth="1"/>
    <col min="13" max="16" style="1644" width="8.00390625" customWidth="1"/>
    <col min="17" max="17" style="1644" width="12.00390625" hidden="1" customWidth="1"/>
  </cols>
  <sheetData>
    <row s="631" customFormat="1" customHeight="1" ht="3">
      <c r="A1" s="792"/>
      <c r="B1" s="250"/>
      <c r="F1" s="251" t="s">
        <v>13</v>
      </c>
      <c r="G1" s="420"/>
      <c r="H1" s="80"/>
      <c r="I1" s="420"/>
      <c r="J1" s="880"/>
      <c r="Q1" s="251" t="s">
        <v>14</v>
      </c>
    </row>
    <row s="1641" customFormat="1" customHeight="1" ht="14.25">
      <c r="A2" s="792"/>
      <c r="B2" s="107"/>
      <c r="E2" s="1748" t="str">
        <f>code</f>
        <v>Код отчёта: PP110.OPEN.INFO.BALANCE.HEAT.EIAS</v>
      </c>
      <c r="F2" s="278"/>
      <c r="G2" s="254"/>
      <c r="H2" s="254"/>
      <c r="I2" s="254"/>
      <c r="J2" s="881"/>
      <c r="K2" s="254"/>
      <c r="Q2" s="80">
        <v>14</v>
      </c>
    </row>
    <row customHeight="1" ht="14.699999999999998">
      <c r="E3" s="255" t="str">
        <f>version</f>
        <v>Версия отчёта: 1.1.6</v>
      </c>
      <c r="F3" s="278"/>
      <c r="G3" s="779"/>
      <c r="H3" s="779"/>
      <c r="I3" s="779"/>
      <c r="J3" s="882"/>
      <c r="K3" s="97"/>
      <c r="Q3" s="83">
        <v>14</v>
      </c>
    </row>
    <row s="1621" customFormat="1" customHeight="1" ht="6.3">
      <c r="A4" s="793"/>
      <c r="B4" s="241"/>
      <c r="C4" s="242"/>
      <c r="D4" s="243"/>
      <c r="E4" s="252"/>
      <c r="F4" s="253"/>
      <c r="G4" s="780"/>
      <c r="H4" s="418"/>
      <c r="I4" s="420"/>
      <c r="J4" s="883"/>
      <c r="Q4" s="245">
        <v>6</v>
      </c>
    </row>
    <row customHeight="1" ht="39.75">
      <c r="D5" s="84"/>
      <c r="E5" s="2123"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2124"/>
      <c r="G5" s="781"/>
      <c r="J5" s="884"/>
      <c r="Q5" s="83">
        <v>38</v>
      </c>
    </row>
    <row s="1621" customFormat="1" customHeight="1" ht="6.3">
      <c r="A6" s="793"/>
      <c r="B6" s="241"/>
      <c r="C6" s="242"/>
      <c r="D6" s="243"/>
      <c r="E6" s="246"/>
      <c r="F6" s="247"/>
      <c r="G6" s="781"/>
      <c r="H6" s="418"/>
      <c r="I6" s="420"/>
      <c r="J6" s="883"/>
      <c r="Q6" s="245">
        <v>6</v>
      </c>
    </row>
    <row customHeight="1" ht="21">
      <c r="D7" s="84"/>
      <c r="E7" s="400" t="s">
        <v>15</v>
      </c>
      <c r="F7" s="224" t="s">
        <v>16</v>
      </c>
      <c r="G7" s="781"/>
      <c r="Q7" s="83">
        <v>20</v>
      </c>
    </row>
    <row s="1621" customFormat="1" customHeight="1" ht="6.3">
      <c r="A8" s="794"/>
      <c r="B8" s="241"/>
      <c r="C8" s="242"/>
      <c r="D8" s="248"/>
      <c r="E8" s="246"/>
      <c r="F8" s="249"/>
      <c r="G8" s="86"/>
      <c r="H8" s="418"/>
      <c r="I8" s="420"/>
      <c r="J8" s="886"/>
      <c r="Q8" s="245">
        <v>6</v>
      </c>
    </row>
    <row s="1644" customFormat="1" customHeight="1" ht="19.5" hidden="1">
      <c r="A9" s="793"/>
      <c r="B9" s="107"/>
      <c r="C9" s="417"/>
      <c r="D9" s="419"/>
      <c r="E9" s="1174" t="s">
        <v>17</v>
      </c>
      <c r="F9" s="1927"/>
      <c r="G9" s="781"/>
      <c r="I9" s="1906" t="str">
        <f>IF(TITLE_STRUCTURE_INFO_ROIV="","","раскрывается "&amp;INDEX(ROIV_INFO_COMMENT,MATCH(TITLE_STRUCTURE_INFO_ROIV,ROIV_INFO_LIST,0)))</f>
        <v/>
      </c>
      <c r="J9" s="885"/>
      <c r="Q9" s="418">
        <v>0</v>
      </c>
    </row>
    <row s="1621" customFormat="1" customHeight="1" ht="24" hidden="1">
      <c r="A10" s="794"/>
      <c r="B10" s="435"/>
      <c r="C10" s="436"/>
      <c r="D10" s="248"/>
      <c r="E10" s="1174" t="s">
        <v>18</v>
      </c>
      <c r="F10" s="2072" t="s">
        <v>19</v>
      </c>
      <c r="G10" s="86"/>
      <c r="H10" s="418"/>
      <c r="I10" s="420"/>
      <c r="J10" s="886"/>
      <c r="Q10" s="439">
        <v>24</v>
      </c>
    </row>
    <row customHeight="1" ht="22.5" hidden="1">
      <c r="A11" s="2126" t="s">
        <v>20</v>
      </c>
      <c r="D11" s="84"/>
      <c r="E11" s="1174" t="s">
        <v>21</v>
      </c>
      <c r="F11" s="1740" t="s">
        <v>22</v>
      </c>
      <c r="G11" s="86"/>
      <c r="H11" s="782" t="s">
        <v>23</v>
      </c>
      <c r="J11" s="885" t="s">
        <v>24</v>
      </c>
      <c r="Q11" s="83">
        <v>0</v>
      </c>
    </row>
    <row customHeight="1" ht="22.5" hidden="1">
      <c r="A12" s="2126"/>
      <c r="D12" s="84"/>
      <c r="E12" s="1174" t="s">
        <v>25</v>
      </c>
      <c r="F12" s="1740"/>
      <c r="G12" s="82"/>
      <c r="J12" s="885" t="s">
        <v>26</v>
      </c>
      <c r="Q12" s="83">
        <v>0</v>
      </c>
    </row>
    <row s="1644" customFormat="1" customHeight="1" ht="22.5" hidden="1">
      <c r="A13" s="797" t="s">
        <v>27</v>
      </c>
      <c r="B13" s="107"/>
      <c r="C13" s="417"/>
      <c r="D13" s="419"/>
      <c r="E13" s="1783" t="s">
        <v>28</v>
      </c>
      <c r="F13" s="1740" t="s">
        <v>22</v>
      </c>
      <c r="G13" s="86"/>
      <c r="H13" s="779"/>
      <c r="I13" s="420"/>
      <c r="J13" s="1784" t="s">
        <v>29</v>
      </c>
      <c r="Q13" s="418">
        <v>0</v>
      </c>
    </row>
    <row s="1644" customFormat="1" customHeight="1" ht="27">
      <c r="A14" s="797" t="s">
        <v>30</v>
      </c>
      <c r="B14" s="107"/>
      <c r="C14" s="417"/>
      <c r="D14" s="419"/>
      <c r="E14" s="1174" t="s">
        <v>31</v>
      </c>
      <c r="F14" s="1775">
        <v>2025</v>
      </c>
      <c r="G14" s="86"/>
      <c r="H14" s="779"/>
      <c r="I14" s="420"/>
      <c r="J14" s="885" t="s">
        <v>32</v>
      </c>
      <c r="Q14" s="418">
        <v>0</v>
      </c>
    </row>
    <row s="1644" customFormat="1" customHeight="1" ht="19.5" hidden="1">
      <c r="A15" s="797" t="s">
        <v>33</v>
      </c>
      <c r="B15" s="107"/>
      <c r="C15" s="417"/>
      <c r="D15" s="419"/>
      <c r="E15" s="1174" t="s">
        <v>34</v>
      </c>
      <c r="F15" s="1775"/>
      <c r="G15" s="86"/>
      <c r="H15" s="779"/>
      <c r="I15" s="420"/>
      <c r="J15" s="885" t="s">
        <v>35</v>
      </c>
      <c r="Q15" s="418">
        <v>0</v>
      </c>
    </row>
    <row s="1644" customFormat="1" customHeight="1" ht="19.5" hidden="1">
      <c r="A16" s="793"/>
      <c r="B16" s="107"/>
      <c r="C16" s="417"/>
      <c r="D16" s="419"/>
      <c r="E16" s="1174" t="s">
        <v>36</v>
      </c>
      <c r="F16" s="1219"/>
      <c r="G16" s="466"/>
      <c r="H16" s="782" t="s">
        <v>23</v>
      </c>
      <c r="I16" s="420"/>
      <c r="J16" s="885"/>
      <c r="Q16" s="418">
        <v>20</v>
      </c>
    </row>
    <row customHeight="1" ht="21">
      <c r="D17" s="84"/>
      <c r="E17" s="400" t="s">
        <v>37</v>
      </c>
      <c r="F17" s="225" t="s">
        <v>38</v>
      </c>
      <c r="G17" s="82"/>
      <c r="H17" s="782" t="s">
        <v>23</v>
      </c>
      <c r="Q17" s="83">
        <v>20</v>
      </c>
    </row>
    <row customHeight="1" ht="25.5" hidden="1">
      <c r="D18" s="84"/>
      <c r="E18" s="1783" t="s">
        <v>39</v>
      </c>
      <c r="F18" s="1741"/>
      <c r="G18" s="82"/>
      <c r="I18" s="783"/>
      <c r="J18" s="2125" t="s">
        <v>40</v>
      </c>
      <c r="Q18" s="83">
        <v>0</v>
      </c>
    </row>
    <row customHeight="1" ht="25.5" hidden="1">
      <c r="D19" s="84"/>
      <c r="E19" s="117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41"/>
      <c r="G19" s="82"/>
      <c r="I19" s="783"/>
      <c r="J19" s="2125"/>
      <c r="Q19" s="83">
        <v>0</v>
      </c>
    </row>
    <row customHeight="1" ht="22.5" hidden="1">
      <c r="D20" s="84"/>
      <c r="E20" s="85"/>
      <c r="F20" s="279" t="str">
        <f>"Первичное "&amp;IF(TEMPLATE_GROUP="P","установление тарифов","предложение по тарифам")</f>
        <v>Первичное предложение по тарифам</v>
      </c>
      <c r="G20" s="82"/>
      <c r="I20" s="403"/>
      <c r="J20" s="884" t="s">
        <v>41</v>
      </c>
      <c r="Q20" s="83">
        <v>0</v>
      </c>
    </row>
    <row customHeight="1" ht="19.5" hidden="1">
      <c r="D21" s="84"/>
      <c r="E21" s="400" t="str">
        <f>"Дата "&amp;IF(TEMPLATE_GROUP="P","документа","подачи заявления")&amp;" об утверждении тарифов"</f>
        <v>Дата подачи заявления об утверждении тарифов</v>
      </c>
      <c r="F21" s="1740"/>
      <c r="G21" s="82"/>
      <c r="I21" s="784"/>
      <c r="Q21" s="83">
        <v>0</v>
      </c>
    </row>
    <row customHeight="1" ht="19.5" hidden="1">
      <c r="D22" s="84"/>
      <c r="E22" s="400" t="str">
        <f>"Номер "&amp;IF(TEMPLATE_GROUP="P","документа","подачи заявления")&amp;" об утверждении тарифов"</f>
        <v>Номер подачи заявления об утверждении тарифов</v>
      </c>
      <c r="F22" s="225"/>
      <c r="G22" s="82"/>
      <c r="I22" s="784"/>
      <c r="Q22" s="83">
        <v>0</v>
      </c>
    </row>
    <row customHeight="1" ht="22.5" hidden="1">
      <c r="D23" s="84"/>
      <c r="E23" s="400" t="s">
        <v>42</v>
      </c>
      <c r="F23" s="225"/>
      <c r="G23" s="82"/>
      <c r="Q23" s="83">
        <v>0</v>
      </c>
    </row>
    <row customHeight="1" ht="19.5" hidden="1">
      <c r="D24" s="84"/>
      <c r="E24" s="400" t="s">
        <v>43</v>
      </c>
      <c r="F24" s="225"/>
      <c r="G24" s="82"/>
      <c r="Q24" s="83">
        <v>0</v>
      </c>
    </row>
    <row customHeight="1" ht="22.5" hidden="1">
      <c r="D25" s="84"/>
      <c r="E25" s="85"/>
      <c r="F25" s="279" t="str">
        <f>"Изменение "&amp;IF(TEMPLATE_GROUP="P","тарифов","предложения по тарифам")</f>
        <v>Изменение предложения по тарифам</v>
      </c>
      <c r="G25" s="82"/>
      <c r="J25" s="884" t="s">
        <v>44</v>
      </c>
      <c r="Q25" s="83">
        <v>0</v>
      </c>
    </row>
    <row customHeight="1" ht="19.5" hidden="1">
      <c r="D26" s="84"/>
      <c r="E26" s="400" t="str">
        <f>"Дата "&amp;IF(TEMPLATE_GROUP="P","принятия решения","подачи заявления")&amp;" об изменении тарифов"</f>
        <v>Дата подачи заявления об изменении тарифов</v>
      </c>
      <c r="F26" s="1741"/>
      <c r="G26" s="82"/>
      <c r="Q26" s="83">
        <v>0</v>
      </c>
    </row>
    <row customHeight="1" ht="19.5" hidden="1">
      <c r="D27" s="84"/>
      <c r="E27" s="1174" t="str">
        <f>"Номер "&amp;IF(TEMPLATE_GROUP="P","принятия решения","заявления")&amp;" об изменении тарифов"</f>
        <v>Номер заявления об изменении тарифов</v>
      </c>
      <c r="F27" s="227"/>
      <c r="G27" s="82"/>
      <c r="Q27" s="83">
        <v>0</v>
      </c>
    </row>
    <row customHeight="1" ht="24.75" hidden="1">
      <c r="D28" s="84"/>
      <c r="E28" s="400" t="s">
        <v>45</v>
      </c>
      <c r="F28" s="227"/>
      <c r="G28" s="82"/>
      <c r="Q28" s="83">
        <v>0</v>
      </c>
    </row>
    <row customHeight="1" ht="19.5" hidden="1">
      <c r="D29" s="84"/>
      <c r="E29" s="400" t="s">
        <v>43</v>
      </c>
      <c r="F29" s="227"/>
      <c r="G29" s="82"/>
      <c r="Q29" s="83">
        <v>0</v>
      </c>
    </row>
    <row s="1621" customFormat="1" customHeight="1" ht="6.3">
      <c r="A30" s="794"/>
      <c r="B30" s="241"/>
      <c r="C30" s="242"/>
      <c r="D30" s="248"/>
      <c r="E30" s="246"/>
      <c r="F30" s="249"/>
      <c r="G30" s="86"/>
      <c r="H30" s="418"/>
      <c r="I30" s="420"/>
      <c r="J30" s="883"/>
      <c r="Q30" s="245">
        <v>6</v>
      </c>
    </row>
    <row customHeight="1" ht="21">
      <c r="C31" s="87"/>
      <c r="D31" s="88"/>
      <c r="E31" s="400" t="str">
        <f>"Наименование "&amp;IF(TEMPLATE_GROUP="ROIV","органа тарифного регулирования","ЮЛ / ИП")</f>
        <v>Наименование ЮЛ / ИП</v>
      </c>
      <c r="F31" s="226" t="s">
        <v>46</v>
      </c>
      <c r="G31" s="785"/>
      <c r="Q31" s="83">
        <v>20</v>
      </c>
    </row>
    <row customHeight="1" ht="21" hidden="1">
      <c r="C32" s="87"/>
      <c r="D32" s="88"/>
      <c r="E32" s="401" t="s">
        <v>47</v>
      </c>
      <c r="F32" s="226"/>
      <c r="G32" s="785"/>
      <c r="Q32" s="83">
        <v>20</v>
      </c>
    </row>
    <row customHeight="1" ht="21">
      <c r="C33" s="87"/>
      <c r="D33" s="88"/>
      <c r="E33" s="400" t="s">
        <v>48</v>
      </c>
      <c r="F33" s="226" t="s">
        <v>49</v>
      </c>
      <c r="G33" s="785"/>
      <c r="Q33" s="83">
        <v>20</v>
      </c>
    </row>
    <row customHeight="1" ht="21">
      <c r="C34" s="87"/>
      <c r="D34" s="88"/>
      <c r="E34" s="400" t="s">
        <v>50</v>
      </c>
      <c r="F34" s="226" t="s">
        <v>51</v>
      </c>
      <c r="G34" s="785"/>
      <c r="H34" s="89"/>
      <c r="Q34" s="83">
        <v>20</v>
      </c>
    </row>
    <row s="1621" customFormat="1" customHeight="1" ht="11.549999999999999">
      <c r="A35" s="794"/>
      <c r="B35" s="241"/>
      <c r="C35" s="242"/>
      <c r="D35" s="248"/>
      <c r="E35" s="246"/>
      <c r="F35" s="249"/>
      <c r="G35" s="86"/>
      <c r="H35" s="418"/>
      <c r="I35" s="420"/>
      <c r="J35" s="883"/>
      <c r="Q35" s="245">
        <v>11</v>
      </c>
    </row>
    <row customHeight="1" ht="19.5">
      <c r="A36" s="888"/>
      <c r="D36" s="88"/>
      <c r="E36" s="400" t="s">
        <v>52</v>
      </c>
      <c r="F36" s="1219" t="s">
        <v>53</v>
      </c>
      <c r="G36" s="86"/>
      <c r="Q36" s="83">
        <v>0</v>
      </c>
    </row>
    <row customHeight="1" ht="21">
      <c r="A37" s="888"/>
      <c r="D37" s="88"/>
      <c r="E37" s="400" t="s">
        <v>54</v>
      </c>
      <c r="F37" s="1219" t="s">
        <v>55</v>
      </c>
      <c r="G37" s="86"/>
      <c r="Q37" s="83">
        <v>20</v>
      </c>
    </row>
    <row s="1621" customFormat="1" customHeight="1" ht="6.3">
      <c r="A38" s="794"/>
      <c r="B38" s="241"/>
      <c r="C38" s="242"/>
      <c r="D38" s="243"/>
      <c r="E38" s="244"/>
      <c r="F38" s="1062"/>
      <c r="G38" s="82"/>
      <c r="H38" s="418"/>
      <c r="I38" s="420"/>
      <c r="J38" s="885"/>
      <c r="Q38" s="245">
        <v>6</v>
      </c>
    </row>
    <row customHeight="1" ht="36.75">
      <c r="A39" s="794"/>
      <c r="D39" s="84"/>
      <c r="E39" s="400" t="s">
        <v>56</v>
      </c>
      <c r="F39" s="719" t="s">
        <v>19</v>
      </c>
      <c r="G39" s="82"/>
      <c r="H39" s="782" t="s">
        <v>23</v>
      </c>
      <c r="Q39" s="83">
        <v>35</v>
      </c>
    </row>
    <row s="1621" customFormat="1" customHeight="1" ht="6" hidden="1">
      <c r="A40" s="793"/>
      <c r="B40" s="435"/>
      <c r="C40" s="436"/>
      <c r="D40" s="437"/>
      <c r="E40" s="438"/>
      <c r="F40" s="1062"/>
      <c r="G40" s="82"/>
      <c r="H40" s="418"/>
      <c r="I40" s="420"/>
      <c r="J40" s="885"/>
      <c r="Q40" s="439">
        <v>6</v>
      </c>
    </row>
    <row s="1644" customFormat="1" customHeight="1" ht="26.25" hidden="1">
      <c r="A41" s="797" t="s">
        <v>27</v>
      </c>
      <c r="B41" s="422"/>
      <c r="C41" s="417"/>
      <c r="D41" s="419"/>
      <c r="E41" s="400"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719" t="s">
        <v>19</v>
      </c>
      <c r="G41" s="82"/>
      <c r="I41" s="420"/>
      <c r="J41" s="885"/>
      <c r="Q41" s="418">
        <v>0</v>
      </c>
    </row>
    <row s="1621" customFormat="1" customHeight="1" ht="6" hidden="1">
      <c r="A42" s="793"/>
      <c r="B42" s="435"/>
      <c r="C42" s="436"/>
      <c r="D42" s="437"/>
      <c r="E42" s="438"/>
      <c r="F42" s="1062"/>
      <c r="G42" s="82"/>
      <c r="H42" s="418"/>
      <c r="I42" s="420"/>
      <c r="J42" s="883"/>
      <c r="Q42" s="439">
        <v>0</v>
      </c>
    </row>
    <row s="1644" customFormat="1" customHeight="1" ht="27" hidden="1">
      <c r="A43" s="793"/>
      <c r="B43" s="422"/>
      <c r="C43" s="417"/>
      <c r="D43" s="419"/>
      <c r="E43" s="400" t="s">
        <v>57</v>
      </c>
      <c r="F43" s="719" t="s">
        <v>19</v>
      </c>
      <c r="G43" s="82"/>
      <c r="I43" s="420"/>
      <c r="J43" s="885"/>
      <c r="Q43" s="418">
        <v>0</v>
      </c>
    </row>
    <row s="1644" customFormat="1" customHeight="1" ht="27" hidden="1">
      <c r="A44" s="793"/>
      <c r="B44" s="422"/>
      <c r="C44" s="417"/>
      <c r="D44" s="419"/>
      <c r="E44" s="1174" t="s">
        <v>58</v>
      </c>
      <c r="F44" s="1894"/>
      <c r="G44" s="82"/>
      <c r="I44" s="420"/>
      <c r="J44" s="885"/>
      <c r="Q44" s="418">
        <v>0</v>
      </c>
    </row>
    <row s="1621" customFormat="1" customHeight="1" ht="6" hidden="1">
      <c r="A45" s="793"/>
      <c r="B45" s="435"/>
      <c r="C45" s="436"/>
      <c r="D45" s="437"/>
      <c r="E45" s="438"/>
      <c r="F45" s="1062"/>
      <c r="G45" s="82"/>
      <c r="H45" s="418"/>
      <c r="I45" s="420"/>
      <c r="J45" s="885"/>
      <c r="Q45" s="439">
        <v>0</v>
      </c>
    </row>
    <row s="1621" customFormat="1" customHeight="1" ht="24.75" hidden="1">
      <c r="A46" s="793"/>
      <c r="B46" s="435"/>
      <c r="C46" s="436"/>
      <c r="D46" s="437"/>
      <c r="E46" s="1174" t="s">
        <v>59</v>
      </c>
      <c r="F46" s="719" t="s">
        <v>19</v>
      </c>
      <c r="G46" s="82"/>
      <c r="H46" s="418"/>
      <c r="I46" s="420"/>
      <c r="J46" s="885"/>
      <c r="Q46" s="439">
        <v>0</v>
      </c>
    </row>
    <row s="1644" customFormat="1" customHeight="1" ht="24.75" hidden="1">
      <c r="A47" s="793"/>
      <c r="B47" s="422"/>
      <c r="C47" s="417"/>
      <c r="D47" s="419"/>
      <c r="E47" s="1174" t="s">
        <v>60</v>
      </c>
      <c r="F47" s="719" t="s">
        <v>19</v>
      </c>
      <c r="G47" s="82"/>
      <c r="I47" s="420"/>
      <c r="J47" s="885"/>
      <c r="Q47" s="418">
        <v>0</v>
      </c>
    </row>
    <row s="1621" customFormat="1" customHeight="1" ht="6" hidden="1">
      <c r="A48" s="793"/>
      <c r="B48" s="241"/>
      <c r="C48" s="242"/>
      <c r="D48" s="243"/>
      <c r="E48" s="244"/>
      <c r="F48" s="1062"/>
      <c r="G48" s="82"/>
      <c r="H48" s="418"/>
      <c r="I48" s="420"/>
      <c r="J48" s="885"/>
      <c r="Q48" s="245">
        <v>0</v>
      </c>
    </row>
    <row customHeight="1" ht="29.25" hidden="1">
      <c r="B49" s="157"/>
      <c r="D49" s="84"/>
      <c r="E49" s="40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719"/>
      <c r="G49" s="82"/>
      <c r="Q49" s="83">
        <v>0</v>
      </c>
    </row>
    <row s="1621" customFormat="1" customHeight="1" ht="6">
      <c r="A50" s="794"/>
      <c r="B50" s="435"/>
      <c r="C50" s="436"/>
      <c r="D50" s="248"/>
      <c r="E50" s="246"/>
      <c r="F50" s="249"/>
      <c r="G50" s="86"/>
      <c r="H50" s="418"/>
      <c r="I50" s="420"/>
      <c r="J50" s="885"/>
      <c r="Q50" s="439">
        <v>0</v>
      </c>
    </row>
    <row s="1644" customFormat="1" customHeight="1" ht="28.5">
      <c r="A51" s="795"/>
      <c r="B51" s="422"/>
      <c r="C51" s="539"/>
      <c r="D51" s="540"/>
      <c r="E51" s="400" t="s">
        <v>61</v>
      </c>
      <c r="F51" s="719" t="s">
        <v>19</v>
      </c>
      <c r="G51" s="541"/>
      <c r="I51" s="543"/>
      <c r="J51" s="887"/>
      <c r="P51" s="544"/>
      <c r="Q51" s="542">
        <v>0</v>
      </c>
    </row>
    <row s="1621" customFormat="1" customHeight="1" ht="6">
      <c r="A52" s="794"/>
      <c r="B52" s="435"/>
      <c r="C52" s="436"/>
      <c r="D52" s="248"/>
      <c r="E52" s="246"/>
      <c r="F52" s="249"/>
      <c r="G52" s="86"/>
      <c r="H52" s="418"/>
      <c r="I52" s="420"/>
      <c r="J52" s="883"/>
      <c r="Q52" s="439">
        <v>0</v>
      </c>
    </row>
    <row s="1644" customFormat="1" customHeight="1" ht="27">
      <c r="A53" s="795"/>
      <c r="B53" s="422"/>
      <c r="C53" s="539"/>
      <c r="D53" s="540"/>
      <c r="E53" s="400" t="s">
        <v>62</v>
      </c>
      <c r="F53" s="1057" t="s">
        <v>63</v>
      </c>
      <c r="G53" s="541"/>
      <c r="I53" s="543"/>
      <c r="J53" s="887"/>
      <c r="P53" s="544"/>
      <c r="Q53" s="542">
        <v>0</v>
      </c>
    </row>
    <row s="1644" customFormat="1" customHeight="1" ht="27">
      <c r="A54" s="795"/>
      <c r="B54" s="422"/>
      <c r="C54" s="539"/>
      <c r="D54" s="540"/>
      <c r="E54" s="400" t="s">
        <v>64</v>
      </c>
      <c r="F54" s="2661">
        <v>46099.64509259259</v>
      </c>
      <c r="G54" s="541"/>
      <c r="I54" s="543"/>
      <c r="J54" s="887"/>
      <c r="P54" s="544"/>
      <c r="Q54" s="542">
        <v>0</v>
      </c>
    </row>
    <row s="1621" customFormat="1" customHeight="1" ht="6">
      <c r="A55" s="794"/>
      <c r="B55" s="435"/>
      <c r="C55" s="436"/>
      <c r="D55" s="248"/>
      <c r="E55" s="246"/>
      <c r="F55" s="249"/>
      <c r="G55" s="86"/>
      <c r="H55" s="418"/>
      <c r="I55" s="420"/>
      <c r="J55" s="883"/>
      <c r="Q55" s="439">
        <v>0</v>
      </c>
    </row>
    <row s="1644" customFormat="1" customHeight="1" ht="25.5">
      <c r="A56" s="795"/>
      <c r="B56" s="422"/>
      <c r="C56" s="539"/>
      <c r="D56" s="540"/>
      <c r="E56" s="400" t="s">
        <v>65</v>
      </c>
      <c r="F56" s="1057" t="s">
        <v>19</v>
      </c>
      <c r="G56" s="541"/>
      <c r="I56" s="543"/>
      <c r="J56" s="887"/>
      <c r="P56" s="544"/>
      <c r="Q56" s="542">
        <v>0</v>
      </c>
    </row>
    <row s="1621" customFormat="1" customHeight="1" ht="6">
      <c r="A57" s="794"/>
      <c r="B57" s="435"/>
      <c r="C57" s="436"/>
      <c r="D57" s="248"/>
      <c r="E57" s="246"/>
      <c r="F57" s="249"/>
      <c r="G57" s="86"/>
      <c r="H57" s="418"/>
      <c r="I57" s="420"/>
      <c r="J57" s="883"/>
      <c r="Q57" s="439">
        <v>0</v>
      </c>
    </row>
    <row s="1644" customFormat="1" customHeight="1" ht="15">
      <c r="A58" s="795"/>
      <c r="B58" s="422"/>
      <c r="C58" s="539"/>
      <c r="D58" s="540"/>
      <c r="E58" s="400" t="s">
        <v>66</v>
      </c>
      <c r="F58" s="1057" t="s">
        <v>63</v>
      </c>
      <c r="G58" s="541"/>
      <c r="I58" s="543"/>
      <c r="J58" s="887"/>
      <c r="P58" s="544"/>
      <c r="Q58" s="542">
        <v>0</v>
      </c>
    </row>
    <row s="1644" customFormat="1" customHeight="1" ht="75">
      <c r="A59" s="795"/>
      <c r="B59" s="422"/>
      <c r="C59" s="539"/>
      <c r="D59" s="540"/>
      <c r="E59" s="40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98" t="s">
        <v>63</v>
      </c>
      <c r="G59" s="541"/>
      <c r="I59" s="543"/>
      <c r="J59" s="887"/>
      <c r="P59" s="544"/>
      <c r="Q59" s="542">
        <v>0</v>
      </c>
    </row>
    <row s="1644" customFormat="1" customHeight="1" ht="15">
      <c r="A60" s="795"/>
      <c r="B60" s="422"/>
      <c r="C60" s="539"/>
      <c r="D60" s="540"/>
      <c r="E60" s="1174" t="s">
        <v>67</v>
      </c>
      <c r="F60" s="1219" t="s">
        <v>68</v>
      </c>
      <c r="G60" s="541"/>
      <c r="I60" s="543"/>
      <c r="J60" s="887"/>
      <c r="P60" s="544"/>
      <c r="Q60" s="542">
        <v>0</v>
      </c>
    </row>
    <row s="1621" customFormat="1" customHeight="1" ht="6" hidden="1">
      <c r="A61" s="794"/>
      <c r="B61" s="435"/>
      <c r="C61" s="436"/>
      <c r="D61" s="437"/>
      <c r="E61" s="438"/>
      <c r="F61" s="1062"/>
      <c r="G61" s="82"/>
      <c r="H61" s="418"/>
      <c r="I61" s="420"/>
      <c r="J61" s="885"/>
      <c r="Q61" s="439">
        <v>0</v>
      </c>
    </row>
    <row s="1644" customFormat="1" customHeight="1" ht="33.75" hidden="1">
      <c r="A62" s="794"/>
      <c r="B62" s="107"/>
      <c r="C62" s="417"/>
      <c r="D62" s="419"/>
      <c r="E62" s="1174" t="s">
        <v>69</v>
      </c>
      <c r="F62" s="1679"/>
      <c r="G62" s="82"/>
      <c r="H62" s="782" t="s">
        <v>23</v>
      </c>
      <c r="I62" s="420"/>
      <c r="J62" s="885"/>
      <c r="Q62" s="418">
        <v>0</v>
      </c>
    </row>
    <row s="1621" customFormat="1" customHeight="1" ht="6.3">
      <c r="A63" s="794"/>
      <c r="B63" s="241"/>
      <c r="C63" s="242"/>
      <c r="D63" s="248"/>
      <c r="E63" s="246"/>
      <c r="F63" s="249"/>
      <c r="G63" s="86"/>
      <c r="H63" s="418"/>
      <c r="I63" s="420"/>
      <c r="J63" s="883"/>
      <c r="Q63" s="245">
        <v>6</v>
      </c>
    </row>
    <row customHeight="1" ht="21">
      <c r="A64" s="796"/>
      <c r="B64" s="108"/>
      <c r="D64" s="91"/>
      <c r="E64" s="400" t="s">
        <v>70</v>
      </c>
      <c r="F64" s="225" t="s">
        <v>71</v>
      </c>
      <c r="G64" s="86"/>
      <c r="Q64" s="83">
        <v>20</v>
      </c>
    </row>
    <row customHeight="1" ht="21">
      <c r="A65" s="796"/>
      <c r="B65" s="108"/>
      <c r="D65" s="91"/>
      <c r="E65" s="400" t="s">
        <v>72</v>
      </c>
      <c r="F65" s="225" t="s">
        <v>73</v>
      </c>
      <c r="G65" s="86"/>
      <c r="Q65" s="83">
        <v>20</v>
      </c>
    </row>
    <row customHeight="1" ht="36.75">
      <c r="D66" s="84"/>
      <c r="E66" s="402" t="s">
        <v>74</v>
      </c>
      <c r="F66" s="1063"/>
      <c r="G66" s="82"/>
      <c r="Q66" s="83">
        <v>35</v>
      </c>
    </row>
    <row customHeight="1" ht="21">
      <c r="A67" s="796"/>
      <c r="D67" s="419"/>
      <c r="E67" s="400" t="s">
        <v>75</v>
      </c>
      <c r="F67" s="280" t="s">
        <v>76</v>
      </c>
      <c r="G67" s="86"/>
      <c r="Q67" s="83">
        <v>20</v>
      </c>
    </row>
    <row customHeight="1" ht="21">
      <c r="A68" s="796"/>
      <c r="B68" s="108"/>
      <c r="D68" s="91"/>
      <c r="E68" s="400" t="s">
        <v>77</v>
      </c>
      <c r="F68" s="280" t="s">
        <v>78</v>
      </c>
      <c r="G68" s="86"/>
      <c r="Q68" s="83">
        <v>20</v>
      </c>
    </row>
    <row customHeight="1" ht="21">
      <c r="A69" s="796"/>
      <c r="B69" s="108"/>
      <c r="D69" s="91"/>
      <c r="E69" s="400" t="s">
        <v>79</v>
      </c>
      <c r="F69" s="280" t="s">
        <v>80</v>
      </c>
      <c r="G69" s="86"/>
      <c r="Q69" s="83">
        <v>20</v>
      </c>
    </row>
    <row customHeight="1" ht="21">
      <c r="D70" s="419"/>
      <c r="E70" s="400" t="s">
        <v>81</v>
      </c>
      <c r="F70" s="280" t="s">
        <v>82</v>
      </c>
      <c r="G70" s="82"/>
      <c r="Q70" s="83">
        <v>20</v>
      </c>
    </row>
    <row customHeight="1" ht="21">
      <c r="A71" s="796"/>
      <c r="D71" s="82"/>
      <c r="F71" s="142"/>
      <c r="G71" s="86"/>
      <c r="Q71" s="83">
        <v>20</v>
      </c>
    </row>
    <row customHeight="1" ht="21">
      <c r="A72" s="796"/>
      <c r="B72" s="108"/>
      <c r="D72" s="91"/>
      <c r="E72" s="90"/>
      <c r="F72" s="1042" t="s">
        <v>13</v>
      </c>
      <c r="G72" s="86"/>
      <c r="Q72" s="83">
        <v>20</v>
      </c>
    </row>
    <row customHeight="1" ht="21">
      <c r="A73" s="796"/>
      <c r="B73" s="108"/>
      <c r="D73" s="91"/>
      <c r="E73" s="90"/>
      <c r="F73" s="143"/>
      <c r="G73" s="86"/>
      <c r="Q73" s="83">
        <v>20</v>
      </c>
    </row>
    <row customHeight="1" ht="21">
      <c r="A74" s="796"/>
      <c r="B74" s="108"/>
      <c r="D74" s="91"/>
      <c r="E74" s="95"/>
      <c r="F74" s="143"/>
      <c r="G74" s="86"/>
      <c r="Q74" s="83">
        <v>20</v>
      </c>
    </row>
    <row customHeight="1" ht="21">
      <c r="A75" s="796"/>
      <c r="B75" s="108"/>
      <c r="D75" s="91"/>
      <c r="E75" s="90"/>
      <c r="F75" s="143"/>
      <c r="G75" s="86"/>
      <c r="Q75" s="83">
        <v>20</v>
      </c>
    </row>
    <row customHeight="1" ht="11.549999999999999">
      <c r="Q76" s="83">
        <v>11</v>
      </c>
    </row>
    <row customHeight="1" ht="11.549999999999999">
      <c r="Q77" s="83">
        <v>11</v>
      </c>
    </row>
    <row customHeight="1" ht="11.549999999999999">
      <c r="E78" s="399"/>
      <c r="F78" s="399"/>
      <c r="G78" s="399"/>
      <c r="H78" s="399"/>
      <c r="I78" s="399"/>
      <c r="Q78" s="83">
        <v>11</v>
      </c>
    </row>
    <row customHeight="1" ht="11.25" hidden="1">
      <c r="A79" s="793" t="s">
        <v>83</v>
      </c>
      <c r="B79" s="107">
        <v>0</v>
      </c>
      <c r="C79" s="81">
        <v>3</v>
      </c>
      <c r="D79" s="83">
        <v>1</v>
      </c>
      <c r="E79" s="83">
        <v>55</v>
      </c>
      <c r="F79" s="83">
        <v>54</v>
      </c>
      <c r="G79" s="780">
        <v>1</v>
      </c>
      <c r="H79" s="418">
        <v>0</v>
      </c>
      <c r="I79" s="420">
        <v>59</v>
      </c>
      <c r="J79" s="885">
        <v>0</v>
      </c>
      <c r="K79" s="83">
        <v>8</v>
      </c>
      <c r="L79" s="83">
        <v>77</v>
      </c>
      <c r="M79" s="83">
        <v>8</v>
      </c>
      <c r="N79" s="83">
        <v>8</v>
      </c>
      <c r="O79" s="83">
        <v>8</v>
      </c>
      <c r="P79" s="83">
        <v>8</v>
      </c>
      <c r="Q79" s="83">
        <v>11</v>
      </c>
    </row>
  </sheetData>
  <sheetProtection sheet="1" formatColumns="0" formatRows="0" sort="1" autoFilter="0" insertRows="1" insertColumns="1" deleteRows="1" deleteColumns="1"/>
  <mergeCells count="3">
    <mergeCell ref="E5:F5"/>
    <mergeCell ref="J18:J19"/>
    <mergeCell ref="A11:A12"/>
  </mergeCells>
  <dataValidations count="14">
    <dataValidation type="list" allowBlank="1" showInputMessage="1" showErrorMessage="1" errorTitle="Ошибка" error="Выберите значение из списка" prompt="Выберите значение из списка" sqref="F16">
      <formula1>kind_of_type_price</formula1>
    </dataValidation>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3860BBBA-1E29-66C1-AA79-0.4B190F0C}"/>
    <hyperlink ref="H16" location="Титульный!H9" display="Как заполнить?" tooltip="Помощь по работе с полями отчётной формы" xr:uid="{ED9B1D7F-D559-AD11-0153-0.CDE4D9A3}"/>
    <hyperlink ref="H17" location="Титульный!H9" display="Как заполнить?" tooltip="Помощь по работе с полями отчётной формы" xr:uid="{5312A213-A2DE-5AAE-5C75-0.EFABB262}"/>
    <hyperlink ref="H39" location="Титульный!H9" display="Как заполнить?" tooltip="Помощь по работе с полями отчётной формы" xr:uid="{DB3CD55B-A8FC-BEE9-E915-0.FB1BD36F}"/>
    <hyperlink ref="H62" location="Титульный!H9" display="Как заполнить?" tooltip="Помощь по работе с полями отчётной формы" xr:uid="{1F0EF793-3CD9-0772-F7DF-0.07713FF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58408F-F97C-AFB6-2A45-0.AF994A25}"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1784" width="3.00390625" customWidth="1"/>
    <col min="17" max="17" style="1380" width="3.00390625" customWidth="1"/>
    <col min="18" max="18" style="353" width="3.00390625" customWidth="1"/>
    <col min="19" max="19" style="2435" width="12.00390625" customWidth="1"/>
    <col min="20" max="20" style="1644" width="31.00390625" customWidth="1"/>
    <col min="21" max="21" style="1644" width="0.140625" customWidth="1"/>
    <col min="22" max="23" style="1644" width="21.7109375" hidden="1" customWidth="1"/>
    <col min="24" max="24" style="1644" width="11.7109375" hidden="1" customWidth="1"/>
    <col min="25" max="25" style="1644" width="3.7109375" hidden="1" customWidth="1"/>
    <col min="26" max="26" style="1644" width="11.7109375" hidden="1" customWidth="1"/>
    <col min="27" max="27" style="1644" width="8.57421875" hidden="1" customWidth="1"/>
    <col min="28" max="28" style="1644" width="5.421875" customWidth="1"/>
    <col min="29" max="30" style="1644" width="3.00390625" customWidth="1"/>
    <col min="31" max="31" style="1644" width="24.00390625" customWidth="1"/>
    <col min="32" max="32" style="1644" width="3.7109375" customWidth="1"/>
    <col min="33" max="34" style="1644" width="3.00390625" customWidth="1"/>
    <col min="35" max="35" style="1644" width="24.00390625" customWidth="1"/>
    <col min="36" max="36" style="1644" width="3.7109375" customWidth="1"/>
    <col min="37" max="38" style="1644" width="3.00390625" customWidth="1"/>
    <col min="39" max="39" style="1644" width="18.00390625" customWidth="1"/>
    <col min="40" max="41" style="1644" width="21.00390625" customWidth="1"/>
    <col min="42" max="42" style="1644" width="11.00390625" customWidth="1"/>
    <col min="43" max="43" style="1644" width="3.7109375" customWidth="1"/>
    <col min="44" max="44" style="1644" width="11.00390625" customWidth="1"/>
    <col min="45" max="45" style="1644" width="8.57421875" hidden="1" customWidth="1"/>
    <col min="46" max="46" style="1644" width="4.00390625" customWidth="1"/>
    <col min="47" max="47" style="1644" width="115.00390625" customWidth="1"/>
    <col min="48" max="52" style="1651" width="10.00390625" customWidth="1"/>
    <col min="53" max="53" style="1644" width="10.57421875" hidden="1"/>
  </cols>
  <sheetData>
    <row customHeight="1" ht="22.5" hidden="1">
      <c r="W1" s="336"/>
      <c r="X1" s="336"/>
      <c r="AO1" s="336"/>
      <c r="AP1" s="336"/>
      <c r="BA1" s="1164" t="s">
        <v>14</v>
      </c>
    </row>
    <row customHeight="1" ht="21" hidden="1">
      <c r="A2" s="1372"/>
      <c r="B2" s="1372"/>
      <c r="C2" s="1372"/>
      <c r="D2" s="1372"/>
      <c r="E2" s="2286">
        <v>1</v>
      </c>
      <c r="F2" s="1372"/>
      <c r="G2" s="1372"/>
      <c r="H2" s="1372"/>
      <c r="I2" s="1372"/>
      <c r="J2" s="1372"/>
      <c r="K2" s="1372"/>
      <c r="L2" s="1373"/>
      <c r="M2" s="1374"/>
      <c r="N2" s="1374"/>
      <c r="O2" s="1374"/>
      <c r="P2" s="1418"/>
      <c r="Q2" s="882"/>
      <c r="R2" s="364"/>
      <c r="S2" s="1345">
        <f>INDEX(PT_DIFFERENTIATION_NUM_NTAR,MATCH(A2,PT_DIFFERENTIATION_NTAR_ID,0))</f>
      </c>
      <c r="T2" s="307" t="s">
        <v>140</v>
      </c>
      <c r="U2" s="309"/>
      <c r="V2" s="2271"/>
      <c r="W2" s="2271"/>
      <c r="X2" s="2271"/>
      <c r="Y2" s="2271"/>
      <c r="Z2" s="2271"/>
      <c r="AA2" s="2272"/>
      <c r="AB2" s="2270">
        <f>INDEX(PT_DIFFERENTIATION_NTAR,MATCH(A2,PT_DIFFERENTIATION_NTAR_ID,0))</f>
      </c>
      <c r="AC2" s="2271"/>
      <c r="AD2" s="2271"/>
      <c r="AE2" s="2271"/>
      <c r="AF2" s="2271"/>
      <c r="AG2" s="2271"/>
      <c r="AH2" s="2271"/>
      <c r="AI2" s="2271"/>
      <c r="AJ2" s="2271"/>
      <c r="AK2" s="2271"/>
      <c r="AL2" s="2271"/>
      <c r="AM2" s="2271"/>
      <c r="AN2" s="2271"/>
      <c r="AO2" s="2271"/>
      <c r="AP2" s="2271"/>
      <c r="AQ2" s="2271"/>
      <c r="AR2" s="2271"/>
      <c r="AS2" s="2271"/>
      <c r="AT2" s="2272"/>
      <c r="AU2" s="1267" t="s">
        <v>411</v>
      </c>
      <c r="AW2" s="509"/>
      <c r="AX2" s="509" t="str">
        <f>IF(T2="","",T2)</f>
        <v>Наименование тарифа</v>
      </c>
      <c r="AY2" s="509"/>
      <c r="AZ2" s="509"/>
      <c r="BA2" s="1164">
        <v>0</v>
      </c>
    </row>
    <row customHeight="1" ht="21" hidden="1">
      <c r="A3" s="1372"/>
      <c r="B3" s="1372"/>
      <c r="C3" s="1372"/>
      <c r="D3" s="1372"/>
      <c r="E3" s="2287"/>
      <c r="F3" s="2286">
        <v>1</v>
      </c>
      <c r="G3" s="1372"/>
      <c r="H3" s="1372"/>
      <c r="I3" s="1372"/>
      <c r="J3" s="1372"/>
      <c r="K3" s="1372"/>
      <c r="L3" s="1373"/>
      <c r="M3" s="1374"/>
      <c r="N3" s="1374"/>
      <c r="O3" s="1374"/>
      <c r="P3" s="1419"/>
      <c r="Q3" s="1420"/>
      <c r="R3" s="362"/>
      <c r="S3" s="1345">
        <f>INDEX(PT_DIFFERENTIATION_NUM_TER,MATCH(B3,PT_DIFFERENTIATION_TER_ID,0))</f>
      </c>
      <c r="T3" s="317" t="s">
        <v>412</v>
      </c>
      <c r="U3" s="309"/>
      <c r="V3" s="2271"/>
      <c r="W3" s="2271"/>
      <c r="X3" s="2271"/>
      <c r="Y3" s="2271"/>
      <c r="Z3" s="2271"/>
      <c r="AA3" s="2272"/>
      <c r="AB3" s="2270">
        <f>INDEX(PT_DIFFERENTIATION_TER,MATCH(B3,PT_DIFFERENTIATION_TER_ID,0))</f>
      </c>
      <c r="AC3" s="2271"/>
      <c r="AD3" s="2271"/>
      <c r="AE3" s="2271"/>
      <c r="AF3" s="2271"/>
      <c r="AG3" s="2271"/>
      <c r="AH3" s="2271"/>
      <c r="AI3" s="2271"/>
      <c r="AJ3" s="2271"/>
      <c r="AK3" s="2271"/>
      <c r="AL3" s="2271"/>
      <c r="AM3" s="2271"/>
      <c r="AN3" s="2271"/>
      <c r="AO3" s="2271"/>
      <c r="AP3" s="2271"/>
      <c r="AQ3" s="2271"/>
      <c r="AR3" s="2271"/>
      <c r="AS3" s="2271"/>
      <c r="AT3" s="2272"/>
      <c r="AU3" s="1267" t="s">
        <v>413</v>
      </c>
      <c r="AW3" s="509"/>
      <c r="AX3" s="509" t="str">
        <f>IF(T3="","",T3)</f>
        <v>Территория действия тарифа</v>
      </c>
      <c r="AY3" s="509"/>
      <c r="AZ3" s="509"/>
      <c r="BA3" s="1164">
        <v>0</v>
      </c>
    </row>
    <row customHeight="1" ht="22.5" hidden="1">
      <c r="A4" s="1372"/>
      <c r="B4" s="1372"/>
      <c r="C4" s="1372"/>
      <c r="D4" s="1372"/>
      <c r="E4" s="2287"/>
      <c r="F4" s="2287"/>
      <c r="G4" s="2286">
        <v>1</v>
      </c>
      <c r="H4" s="1372"/>
      <c r="I4" s="1372"/>
      <c r="J4" s="1372"/>
      <c r="K4" s="1372"/>
      <c r="L4" s="1373"/>
      <c r="M4" s="1374"/>
      <c r="N4" s="1374"/>
      <c r="O4" s="1374"/>
      <c r="P4" s="1421"/>
      <c r="Q4" s="1420"/>
      <c r="R4" s="362"/>
      <c r="S4" s="1345">
        <f>INDEX(PT_DIFFERENTIATION_NUM_CS,MATCH(C4,PT_DIFFERENTIATION_CS_ID,0))</f>
      </c>
      <c r="T4" s="318" t="s">
        <v>414</v>
      </c>
      <c r="U4" s="309"/>
      <c r="V4" s="2271"/>
      <c r="W4" s="2271"/>
      <c r="X4" s="2271"/>
      <c r="Y4" s="2271"/>
      <c r="Z4" s="2271"/>
      <c r="AA4" s="2272"/>
      <c r="AB4" s="2270">
        <f>INDEX(PT_DIFFERENTIATION_CS,MATCH(C4,PT_DIFFERENTIATION_CS_ID,0))</f>
      </c>
      <c r="AC4" s="2271"/>
      <c r="AD4" s="2271"/>
      <c r="AE4" s="2271"/>
      <c r="AF4" s="2271"/>
      <c r="AG4" s="2271"/>
      <c r="AH4" s="2271"/>
      <c r="AI4" s="2271"/>
      <c r="AJ4" s="2271"/>
      <c r="AK4" s="2271"/>
      <c r="AL4" s="2271"/>
      <c r="AM4" s="2271"/>
      <c r="AN4" s="2271"/>
      <c r="AO4" s="2271"/>
      <c r="AP4" s="2271"/>
      <c r="AQ4" s="2271"/>
      <c r="AR4" s="2271"/>
      <c r="AS4" s="2271"/>
      <c r="AT4" s="2272"/>
      <c r="AU4" s="1267" t="s">
        <v>415</v>
      </c>
      <c r="AW4" s="509"/>
      <c r="AX4" s="509" t="str">
        <f>IF(T4="","",T4)</f>
        <v>Наименование системы теплоснабжения </v>
      </c>
      <c r="AY4" s="509"/>
      <c r="AZ4" s="509"/>
      <c r="BA4" s="1164">
        <v>0</v>
      </c>
    </row>
    <row customHeight="1" ht="21" hidden="1">
      <c r="A5" s="1372"/>
      <c r="B5" s="1372"/>
      <c r="C5" s="1372"/>
      <c r="D5" s="1372"/>
      <c r="E5" s="2287"/>
      <c r="F5" s="2287"/>
      <c r="G5" s="2287"/>
      <c r="H5" s="2286">
        <v>1</v>
      </c>
      <c r="I5" s="1372"/>
      <c r="J5" s="1372"/>
      <c r="K5" s="1372"/>
      <c r="L5" s="1373"/>
      <c r="M5" s="1374"/>
      <c r="N5" s="1374"/>
      <c r="O5" s="1374"/>
      <c r="P5" s="1421"/>
      <c r="Q5" s="1420"/>
      <c r="R5" s="362"/>
      <c r="S5" s="1345">
        <f>INDEX(PT_DIFFERENTIATION_NUM_IST_TE,MATCH(D5,PT_DIFFERENTIATION_IST_TE_ID,0))</f>
      </c>
      <c r="T5" s="319" t="s">
        <v>416</v>
      </c>
      <c r="U5" s="309"/>
      <c r="V5" s="2271"/>
      <c r="W5" s="2271"/>
      <c r="X5" s="2271"/>
      <c r="Y5" s="2271"/>
      <c r="Z5" s="2271"/>
      <c r="AA5" s="2272"/>
      <c r="AB5" s="2270">
        <f>INDEX(PT_DIFFERENTIATION_IST_TE,MATCH(D5,PT_DIFFERENTIATION_IST_TE_ID,0))</f>
      </c>
      <c r="AC5" s="2271"/>
      <c r="AD5" s="2271"/>
      <c r="AE5" s="2271"/>
      <c r="AF5" s="2271"/>
      <c r="AG5" s="2271"/>
      <c r="AH5" s="2271"/>
      <c r="AI5" s="2271"/>
      <c r="AJ5" s="2271"/>
      <c r="AK5" s="2271"/>
      <c r="AL5" s="2271"/>
      <c r="AM5" s="2271"/>
      <c r="AN5" s="2271"/>
      <c r="AO5" s="2271"/>
      <c r="AP5" s="2271"/>
      <c r="AQ5" s="2271"/>
      <c r="AR5" s="2271"/>
      <c r="AS5" s="2271"/>
      <c r="AT5" s="2272"/>
      <c r="AU5" s="1267" t="s">
        <v>417</v>
      </c>
      <c r="AW5" s="509"/>
      <c r="AX5" s="509" t="str">
        <f>IF(T5="","",T5)</f>
        <v>Источник тепловой энергии  </v>
      </c>
      <c r="AY5" s="509"/>
      <c r="AZ5" s="509"/>
      <c r="BA5" s="1164">
        <v>0</v>
      </c>
    </row>
    <row s="1651" customFormat="1" customHeight="1" ht="0.75" hidden="1">
      <c r="A6" s="1352"/>
      <c r="B6" s="1352"/>
      <c r="C6" s="1352"/>
      <c r="D6" s="1352"/>
      <c r="E6" s="2287"/>
      <c r="F6" s="2287"/>
      <c r="G6" s="2287"/>
      <c r="H6" s="2287"/>
      <c r="I6" s="2284">
        <f>S5&amp;".1"</f>
      </c>
      <c r="J6" s="1352"/>
      <c r="K6" s="1352"/>
      <c r="L6" s="1355" t="s">
        <v>418</v>
      </c>
      <c r="M6" s="519"/>
      <c r="N6" s="519"/>
      <c r="O6" s="519"/>
      <c r="P6" s="2285">
        <v>1</v>
      </c>
      <c r="Q6" s="1340"/>
      <c r="R6" s="365"/>
      <c r="S6" s="1051"/>
      <c r="T6" s="1392"/>
      <c r="U6" s="1393"/>
      <c r="V6" s="2325"/>
      <c r="W6" s="2325"/>
      <c r="X6" s="2325"/>
      <c r="Y6" s="2325"/>
      <c r="Z6" s="2325"/>
      <c r="AA6" s="2326"/>
      <c r="AB6" s="2324"/>
      <c r="AC6" s="2325"/>
      <c r="AD6" s="2325"/>
      <c r="AE6" s="2325"/>
      <c r="AF6" s="2325"/>
      <c r="AG6" s="2325"/>
      <c r="AH6" s="2325"/>
      <c r="AI6" s="2325"/>
      <c r="AJ6" s="2325"/>
      <c r="AK6" s="2325"/>
      <c r="AL6" s="2325"/>
      <c r="AM6" s="2325"/>
      <c r="AN6" s="2325"/>
      <c r="AO6" s="2325"/>
      <c r="AP6" s="2325"/>
      <c r="AQ6" s="2325"/>
      <c r="AR6" s="2325"/>
      <c r="AS6" s="2325"/>
      <c r="AT6" s="2326"/>
      <c r="AU6" s="1394"/>
      <c r="AW6" s="509"/>
      <c r="AX6" s="509" t="str">
        <f>IF(T6="","",T6)</f>
        <v/>
      </c>
      <c r="AY6" s="509"/>
      <c r="AZ6" s="509"/>
      <c r="BA6" s="520">
        <v>0</v>
      </c>
    </row>
    <row s="1651" customFormat="1" customHeight="1" ht="0.75" hidden="1">
      <c r="A7" s="1352"/>
      <c r="B7" s="1352"/>
      <c r="C7" s="1352"/>
      <c r="D7" s="1352"/>
      <c r="E7" s="2287"/>
      <c r="F7" s="2287"/>
      <c r="G7" s="2287"/>
      <c r="H7" s="2287"/>
      <c r="I7" s="2314"/>
      <c r="J7" s="2284">
        <f>S5&amp;".1"</f>
      </c>
      <c r="K7" s="1352"/>
      <c r="L7" s="1355"/>
      <c r="M7" s="519"/>
      <c r="N7" s="519"/>
      <c r="O7" s="519"/>
      <c r="P7" s="2285"/>
      <c r="Q7" s="2285">
        <v>1</v>
      </c>
      <c r="R7" s="366"/>
      <c r="S7" s="1051"/>
      <c r="T7" s="1408"/>
      <c r="U7" s="1393"/>
      <c r="V7" s="2325"/>
      <c r="W7" s="2325"/>
      <c r="X7" s="2325"/>
      <c r="Y7" s="2325"/>
      <c r="Z7" s="2325"/>
      <c r="AA7" s="2326"/>
      <c r="AB7" s="2324"/>
      <c r="AC7" s="2325"/>
      <c r="AD7" s="2325"/>
      <c r="AE7" s="2325"/>
      <c r="AF7" s="2325"/>
      <c r="AG7" s="2325"/>
      <c r="AH7" s="2325"/>
      <c r="AI7" s="2325"/>
      <c r="AJ7" s="2325"/>
      <c r="AK7" s="2325"/>
      <c r="AL7" s="2325"/>
      <c r="AM7" s="2325"/>
      <c r="AN7" s="2325"/>
      <c r="AO7" s="2325"/>
      <c r="AP7" s="2325"/>
      <c r="AQ7" s="2325"/>
      <c r="AR7" s="2325"/>
      <c r="AS7" s="2325"/>
      <c r="AT7" s="2326"/>
      <c r="AU7" s="1394"/>
      <c r="AW7" s="509"/>
      <c r="AX7" s="509" t="str">
        <f>IF(T7="","",T7)</f>
        <v/>
      </c>
      <c r="AY7" s="509"/>
      <c r="AZ7" s="509"/>
      <c r="BA7" s="520">
        <v>0</v>
      </c>
    </row>
    <row customHeight="1" ht="21" hidden="1">
      <c r="A8" s="1372"/>
      <c r="B8" s="1372"/>
      <c r="C8" s="1372"/>
      <c r="D8" s="1372"/>
      <c r="E8" s="2287"/>
      <c r="F8" s="2287"/>
      <c r="G8" s="2287"/>
      <c r="H8" s="2287"/>
      <c r="I8" s="2314"/>
      <c r="J8" s="2314"/>
      <c r="K8" s="2284">
        <f>S5&amp;".1"</f>
      </c>
      <c r="L8" s="1373"/>
      <c r="P8" s="2285"/>
      <c r="Q8" s="2285"/>
      <c r="R8" s="2375">
        <v>1</v>
      </c>
      <c r="S8" s="2369">
        <f>$K8</f>
      </c>
      <c r="T8" s="2372"/>
      <c r="U8" s="309"/>
      <c r="V8" s="760"/>
      <c r="W8" s="1266"/>
      <c r="X8" s="2293"/>
      <c r="Y8" s="2135" t="s">
        <v>63</v>
      </c>
      <c r="Z8" s="2293"/>
      <c r="AA8" s="2135" t="s">
        <v>63</v>
      </c>
      <c r="AB8" s="2135" t="s">
        <v>19</v>
      </c>
      <c r="AC8" s="2354"/>
      <c r="AD8" s="2233">
        <v>1</v>
      </c>
      <c r="AE8" s="2355"/>
      <c r="AF8" s="2135" t="s">
        <v>19</v>
      </c>
      <c r="AG8" s="2354"/>
      <c r="AH8" s="2233">
        <v>1</v>
      </c>
      <c r="AI8" s="2355"/>
      <c r="AJ8" s="2135" t="s">
        <v>19</v>
      </c>
      <c r="AK8" s="320"/>
      <c r="AL8" s="1346">
        <v>1</v>
      </c>
      <c r="AM8" s="1407"/>
      <c r="AN8" s="760"/>
      <c r="AO8" s="1266"/>
      <c r="AP8" s="1742"/>
      <c r="AQ8" s="1468" t="s">
        <v>63</v>
      </c>
      <c r="AR8" s="1742"/>
      <c r="AS8" s="1468" t="s">
        <v>63</v>
      </c>
      <c r="AT8" s="1357"/>
      <c r="AU8" s="2281" t="s">
        <v>475</v>
      </c>
      <c r="AV8" s="520">
        <f>STRCHECKDATE(V11:AT11)</f>
      </c>
      <c r="AW8" s="509"/>
      <c r="AX8" s="509" t="str">
        <f>IF(T8="","",T8)</f>
        <v/>
      </c>
      <c r="AY8" s="509"/>
      <c r="AZ8" s="509"/>
      <c r="BA8" s="1164">
        <v>0</v>
      </c>
    </row>
    <row customHeight="1" ht="11.25" hidden="1">
      <c r="A9" s="1372"/>
      <c r="B9" s="1372"/>
      <c r="C9" s="1372"/>
      <c r="D9" s="1372"/>
      <c r="E9" s="2287"/>
      <c r="F9" s="2287"/>
      <c r="G9" s="2287"/>
      <c r="H9" s="2287"/>
      <c r="I9" s="2314"/>
      <c r="J9" s="2314"/>
      <c r="K9" s="2284"/>
      <c r="L9" s="1373"/>
      <c r="P9" s="2285"/>
      <c r="Q9" s="2285"/>
      <c r="R9" s="2375"/>
      <c r="S9" s="2370"/>
      <c r="T9" s="2373"/>
      <c r="U9" s="309"/>
      <c r="V9" s="1402"/>
      <c r="W9" s="1406"/>
      <c r="X9" s="2293"/>
      <c r="Y9" s="2135"/>
      <c r="Z9" s="2293"/>
      <c r="AA9" s="2135"/>
      <c r="AB9" s="2135"/>
      <c r="AC9" s="2354"/>
      <c r="AD9" s="2233"/>
      <c r="AE9" s="2355"/>
      <c r="AF9" s="2135"/>
      <c r="AG9" s="2354"/>
      <c r="AH9" s="2233"/>
      <c r="AI9" s="2355"/>
      <c r="AJ9" s="2135"/>
      <c r="AK9" s="325"/>
      <c r="AL9" s="425"/>
      <c r="AM9" s="424" t="s">
        <v>476</v>
      </c>
      <c r="AN9" s="1402"/>
      <c r="AO9" s="1505"/>
      <c r="AP9" s="1402"/>
      <c r="AQ9" s="1402"/>
      <c r="AR9" s="1402"/>
      <c r="AS9" s="1402"/>
      <c r="AT9" s="1399"/>
      <c r="AU9" s="2282"/>
      <c r="AW9" s="509"/>
      <c r="AX9" s="509"/>
      <c r="AY9" s="509"/>
      <c r="AZ9" s="509"/>
      <c r="BA9" s="1164">
        <v>0</v>
      </c>
    </row>
    <row customHeight="1" ht="11.25" hidden="1">
      <c r="A10" s="1372"/>
      <c r="B10" s="1372"/>
      <c r="C10" s="1372"/>
      <c r="D10" s="1372"/>
      <c r="E10" s="2287"/>
      <c r="F10" s="2287"/>
      <c r="G10" s="2287"/>
      <c r="H10" s="2287"/>
      <c r="I10" s="2314"/>
      <c r="J10" s="2314"/>
      <c r="K10" s="2284"/>
      <c r="L10" s="1373"/>
      <c r="P10" s="2285"/>
      <c r="Q10" s="2285"/>
      <c r="R10" s="2375"/>
      <c r="S10" s="2370"/>
      <c r="T10" s="2373"/>
      <c r="U10" s="309"/>
      <c r="V10" s="1402"/>
      <c r="W10" s="1406"/>
      <c r="X10" s="2293"/>
      <c r="Y10" s="2135"/>
      <c r="Z10" s="2293"/>
      <c r="AA10" s="2135"/>
      <c r="AB10" s="2135"/>
      <c r="AC10" s="2354"/>
      <c r="AD10" s="2233"/>
      <c r="AE10" s="2355"/>
      <c r="AF10" s="2135"/>
      <c r="AG10" s="303"/>
      <c r="AH10" s="424"/>
      <c r="AI10" s="424" t="s">
        <v>477</v>
      </c>
      <c r="AJ10" s="1402"/>
      <c r="AK10" s="1402"/>
      <c r="AL10" s="1402"/>
      <c r="AM10" s="1402"/>
      <c r="AN10" s="1402"/>
      <c r="AO10" s="1505"/>
      <c r="AP10" s="1402"/>
      <c r="AQ10" s="1402"/>
      <c r="AR10" s="1402"/>
      <c r="AS10" s="1402"/>
      <c r="AT10" s="1399"/>
      <c r="AU10" s="2282"/>
      <c r="AW10" s="509"/>
      <c r="AX10" s="509"/>
      <c r="AY10" s="509"/>
      <c r="AZ10" s="509"/>
      <c r="BA10" s="1164">
        <v>0</v>
      </c>
    </row>
    <row customHeight="1" ht="11.25" hidden="1">
      <c r="A11" s="1372"/>
      <c r="B11" s="1372"/>
      <c r="C11" s="1372"/>
      <c r="D11" s="1372"/>
      <c r="E11" s="2287"/>
      <c r="F11" s="2287"/>
      <c r="G11" s="2287"/>
      <c r="H11" s="2287"/>
      <c r="I11" s="2314"/>
      <c r="J11" s="2314"/>
      <c r="K11" s="2284"/>
      <c r="L11" s="1373"/>
      <c r="P11" s="2285"/>
      <c r="Q11" s="2285"/>
      <c r="R11" s="2375"/>
      <c r="S11" s="2371"/>
      <c r="T11" s="2374"/>
      <c r="U11" s="309"/>
      <c r="V11" s="1402"/>
      <c r="W11" s="1405" t="str">
        <f>X8&amp;"-"&amp;Z8</f>
        <v>-</v>
      </c>
      <c r="X11" s="2294"/>
      <c r="Y11" s="2135"/>
      <c r="Z11" s="2294"/>
      <c r="AA11" s="2135"/>
      <c r="AB11" s="2135"/>
      <c r="AC11" s="321"/>
      <c r="AD11" s="323"/>
      <c r="AE11" s="424" t="s">
        <v>478</v>
      </c>
      <c r="AF11" s="1402"/>
      <c r="AG11" s="1402"/>
      <c r="AH11" s="1402"/>
      <c r="AI11" s="1402"/>
      <c r="AJ11" s="1402"/>
      <c r="AK11" s="1402"/>
      <c r="AL11" s="1402"/>
      <c r="AM11" s="1402"/>
      <c r="AN11" s="1402"/>
      <c r="AO11" s="1403" t="str">
        <f>AP8&amp;"-"&amp;AR8</f>
        <v>-</v>
      </c>
      <c r="AP11" s="1402"/>
      <c r="AQ11" s="1402"/>
      <c r="AR11" s="1402"/>
      <c r="AS11" s="1402"/>
      <c r="AT11" s="1358"/>
      <c r="AU11" s="2282"/>
      <c r="AW11" s="509"/>
      <c r="AX11" s="509" t="str">
        <f>IF(T11="","",T11)</f>
        <v/>
      </c>
      <c r="AY11" s="509"/>
      <c r="AZ11" s="509"/>
      <c r="BA11" s="1164">
        <v>0</v>
      </c>
    </row>
    <row customHeight="1" ht="11.25" hidden="1">
      <c r="A12" s="1372"/>
      <c r="B12" s="1372"/>
      <c r="C12" s="1372"/>
      <c r="D12" s="1372"/>
      <c r="E12" s="2287"/>
      <c r="F12" s="2287"/>
      <c r="G12" s="2287"/>
      <c r="H12" s="2287"/>
      <c r="I12" s="2314"/>
      <c r="J12" s="2284"/>
      <c r="K12" s="1372"/>
      <c r="L12" s="1373"/>
      <c r="P12" s="2285"/>
      <c r="Q12" s="2285"/>
      <c r="R12" s="365"/>
      <c r="S12" s="1287"/>
      <c r="T12" s="296" t="s">
        <v>479</v>
      </c>
      <c r="U12" s="376"/>
      <c r="V12" s="376"/>
      <c r="W12" s="376"/>
      <c r="X12" s="376"/>
      <c r="Y12" s="376"/>
      <c r="Z12" s="376"/>
      <c r="AA12" s="376"/>
      <c r="AB12" s="376"/>
      <c r="AC12" s="376"/>
      <c r="AD12" s="376"/>
      <c r="AE12" s="376"/>
      <c r="AF12" s="376"/>
      <c r="AG12" s="376"/>
      <c r="AH12" s="376"/>
      <c r="AI12" s="376"/>
      <c r="AJ12" s="376"/>
      <c r="AK12" s="376"/>
      <c r="AL12" s="376"/>
      <c r="AM12" s="376"/>
      <c r="AN12" s="376"/>
      <c r="AO12" s="376"/>
      <c r="AP12" s="376"/>
      <c r="AQ12" s="376"/>
      <c r="AR12" s="376"/>
      <c r="AS12" s="376"/>
      <c r="AT12" s="333"/>
      <c r="AU12" s="2283"/>
      <c r="AW12" s="509"/>
      <c r="AX12" s="509" t="str">
        <f>IF(T12="","",T12)</f>
        <v>Добавить строку</v>
      </c>
      <c r="AY12" s="509"/>
      <c r="AZ12" s="509"/>
      <c r="BA12" s="1164">
        <v>0</v>
      </c>
    </row>
    <row s="1651" customFormat="1" customHeight="1" ht="0.75" hidden="1">
      <c r="A13" s="1352"/>
      <c r="B13" s="1352"/>
      <c r="C13" s="1352"/>
      <c r="D13" s="1352"/>
      <c r="E13" s="2287"/>
      <c r="F13" s="2287"/>
      <c r="G13" s="2287"/>
      <c r="H13" s="2287"/>
      <c r="I13" s="2284"/>
      <c r="J13" s="1352"/>
      <c r="K13" s="1352"/>
      <c r="L13" s="1355"/>
      <c r="M13" s="519"/>
      <c r="N13" s="519"/>
      <c r="O13" s="519"/>
      <c r="P13" s="2285"/>
      <c r="Q13" s="1340"/>
      <c r="R13" s="365"/>
      <c r="S13" s="1395"/>
      <c r="T13" s="1396"/>
      <c r="U13" s="1397"/>
      <c r="V13" s="1397"/>
      <c r="W13" s="1397"/>
      <c r="X13" s="1397"/>
      <c r="Y13" s="1397"/>
      <c r="Z13" s="1397"/>
      <c r="AA13" s="1397"/>
      <c r="AB13" s="1397"/>
      <c r="AC13" s="1397"/>
      <c r="AD13" s="1397"/>
      <c r="AE13" s="1397"/>
      <c r="AF13" s="1397"/>
      <c r="AG13" s="1397"/>
      <c r="AH13" s="1397"/>
      <c r="AI13" s="1397"/>
      <c r="AJ13" s="1397"/>
      <c r="AK13" s="1397"/>
      <c r="AL13" s="1397"/>
      <c r="AM13" s="1397"/>
      <c r="AN13" s="1397"/>
      <c r="AO13" s="1397"/>
      <c r="AP13" s="1397"/>
      <c r="AQ13" s="1397"/>
      <c r="AR13" s="1397"/>
      <c r="AS13" s="1397"/>
      <c r="AT13" s="1397"/>
      <c r="AU13" s="1398"/>
      <c r="AW13" s="509"/>
      <c r="AX13" s="509" t="str">
        <f>IF(T13="","",T13)</f>
        <v/>
      </c>
      <c r="AY13" s="509"/>
      <c r="AZ13" s="509"/>
      <c r="BA13" s="520">
        <v>0</v>
      </c>
    </row>
    <row s="1651" customFormat="1" customHeight="1" ht="0.75" hidden="1">
      <c r="A14" s="1352"/>
      <c r="B14" s="1352"/>
      <c r="C14" s="1352"/>
      <c r="D14" s="1352"/>
      <c r="E14" s="2287"/>
      <c r="F14" s="2287"/>
      <c r="G14" s="2287"/>
      <c r="H14" s="2286"/>
      <c r="I14" s="1352"/>
      <c r="J14" s="1352"/>
      <c r="K14" s="1352"/>
      <c r="L14" s="1355"/>
      <c r="M14" s="1324"/>
      <c r="N14" s="1324"/>
      <c r="O14" s="527"/>
      <c r="P14" s="389"/>
      <c r="Q14" s="1353"/>
      <c r="R14" s="1410"/>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8"/>
      <c r="AW14" s="509"/>
      <c r="AX14" s="509" t="str">
        <f>IF(T14="","",T14)</f>
        <v/>
      </c>
      <c r="AY14" s="509"/>
      <c r="AZ14" s="509"/>
      <c r="BA14" s="520">
        <v>0</v>
      </c>
    </row>
    <row s="1651" customFormat="1" customHeight="1" ht="0.75" hidden="1">
      <c r="A15" s="1352"/>
      <c r="B15" s="1352"/>
      <c r="C15" s="1352"/>
      <c r="D15" s="1323"/>
      <c r="E15" s="2287"/>
      <c r="F15" s="2287"/>
      <c r="G15" s="2286"/>
      <c r="H15" s="1323"/>
      <c r="I15" s="1323"/>
      <c r="J15" s="1323"/>
      <c r="K15" s="1323"/>
      <c r="L15" s="1348"/>
      <c r="M15" s="1324"/>
      <c r="N15" s="1324"/>
      <c r="P15" s="1325"/>
      <c r="Q15" s="1326"/>
      <c r="R15" s="1325"/>
      <c r="S15" s="1331"/>
      <c r="T15" s="1334" t="s">
        <v>429</v>
      </c>
      <c r="U15" s="1333"/>
      <c r="V15" s="1333"/>
      <c r="W15" s="1333"/>
      <c r="X15" s="1333"/>
      <c r="Y15" s="1333"/>
      <c r="Z15" s="1333"/>
      <c r="AA15" s="1333"/>
      <c r="AB15" s="1333"/>
      <c r="AC15" s="1333"/>
      <c r="AD15" s="1333"/>
      <c r="AE15" s="1333"/>
      <c r="AF15" s="1333"/>
      <c r="AG15" s="1333"/>
      <c r="AH15" s="1333"/>
      <c r="AI15" s="1333"/>
      <c r="AJ15" s="1333"/>
      <c r="AK15" s="1333"/>
      <c r="AL15" s="1333"/>
      <c r="AM15" s="1333"/>
      <c r="AN15" s="1333"/>
      <c r="AO15" s="1333"/>
      <c r="AP15" s="1333"/>
      <c r="AQ15" s="1333"/>
      <c r="AR15" s="1333"/>
      <c r="AS15" s="1333"/>
      <c r="AT15" s="1333"/>
      <c r="AU15" s="1333"/>
      <c r="AW15" s="798"/>
      <c r="AX15" s="798" t="str">
        <f>IF(T15="","",T15)</f>
        <v>Добавить источник для дифференциации</v>
      </c>
      <c r="AY15" s="798"/>
      <c r="AZ15" s="798"/>
      <c r="BA15" s="527">
        <v>0</v>
      </c>
    </row>
    <row s="1651" customFormat="1" customHeight="1" ht="0.75" hidden="1">
      <c r="A16" s="1352"/>
      <c r="B16" s="1352"/>
      <c r="C16" s="1323"/>
      <c r="D16" s="1323"/>
      <c r="E16" s="2287"/>
      <c r="F16" s="2286"/>
      <c r="G16" s="1323"/>
      <c r="H16" s="1323"/>
      <c r="I16" s="1323"/>
      <c r="J16" s="1323"/>
      <c r="K16" s="1323"/>
      <c r="L16" s="1348"/>
      <c r="M16" s="1330"/>
      <c r="N16" s="1330"/>
      <c r="P16" s="1325"/>
      <c r="Q16" s="1326"/>
      <c r="R16" s="1325"/>
      <c r="S16" s="1331"/>
      <c r="T16" s="1334" t="s">
        <v>430</v>
      </c>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W16" s="798"/>
      <c r="AX16" s="798" t="str">
        <f>IF(T16="","",T16)</f>
        <v>Добавить централизованную систему для дифференциации</v>
      </c>
      <c r="AY16" s="798"/>
      <c r="AZ16" s="798"/>
      <c r="BA16" s="527">
        <v>0</v>
      </c>
    </row>
    <row s="1651" customFormat="1" customHeight="1" ht="0.75" hidden="1">
      <c r="A17" s="1352"/>
      <c r="B17" s="1352"/>
      <c r="C17" s="1352"/>
      <c r="D17" s="1352"/>
      <c r="E17" s="2286"/>
      <c r="F17" s="1352"/>
      <c r="G17" s="1352"/>
      <c r="H17" s="1352"/>
      <c r="I17" s="1352"/>
      <c r="J17" s="1352"/>
      <c r="K17" s="1352"/>
      <c r="L17" s="1355"/>
      <c r="M17" s="1330"/>
      <c r="N17" s="1330"/>
      <c r="O17" s="527"/>
      <c r="P17" s="389"/>
      <c r="Q17" s="1353"/>
      <c r="R17" s="389"/>
      <c r="S17" s="1331"/>
      <c r="T17" s="1334" t="s">
        <v>431</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W17" s="509"/>
      <c r="AX17" s="509" t="str">
        <f>IF(T17="","",T17)</f>
        <v>Добавить территорию для дифференциации</v>
      </c>
      <c r="AY17" s="509"/>
      <c r="AZ17" s="509"/>
      <c r="BA17" s="520">
        <v>0</v>
      </c>
    </row>
    <row customHeight="1" ht="14.25" hidden="1">
      <c r="AA18" s="336"/>
      <c r="AS18" s="336"/>
      <c r="BA18" s="1164">
        <v>0</v>
      </c>
    </row>
    <row customHeight="1" ht="14.25" hidden="1">
      <c r="AB19" s="1333" t="s">
        <v>19</v>
      </c>
      <c r="AC19" s="1510"/>
      <c r="AD19" s="557">
        <v>1</v>
      </c>
      <c r="AE19" s="1511"/>
      <c r="AF19" s="1333" t="s">
        <v>19</v>
      </c>
      <c r="AG19" s="1510"/>
      <c r="AH19" s="557">
        <v>1</v>
      </c>
      <c r="AI19" s="1511"/>
      <c r="AJ19" s="1333" t="s">
        <v>19</v>
      </c>
      <c r="AK19" s="1512"/>
      <c r="AL19" s="557">
        <v>1</v>
      </c>
      <c r="AM19" s="1515"/>
      <c r="AN19" s="1412"/>
      <c r="AO19" s="1413"/>
      <c r="AP19" s="1744"/>
      <c r="AQ19" s="1469" t="s">
        <v>63</v>
      </c>
      <c r="AR19" s="1744"/>
      <c r="AS19" s="1469" t="s">
        <v>63</v>
      </c>
      <c r="BA19" s="1164">
        <v>0</v>
      </c>
    </row>
    <row customHeight="1" ht="14.25" hidden="1">
      <c r="AV20" s="505"/>
      <c r="AW20" s="505"/>
      <c r="AX20" s="505"/>
      <c r="AY20" s="505"/>
      <c r="AZ20" s="505"/>
      <c r="BA20" s="1164">
        <v>0</v>
      </c>
    </row>
    <row customHeight="1" ht="14.25" hidden="1">
      <c r="O21" s="1376" t="s">
        <v>432</v>
      </c>
      <c r="X21" s="1354"/>
      <c r="Z21" s="1354"/>
      <c r="AA21" s="336"/>
      <c r="AP21" s="1354"/>
      <c r="AR21" s="1354"/>
      <c r="AS21" s="336"/>
      <c r="AV21" s="505"/>
      <c r="AW21" s="505"/>
      <c r="AX21" s="505"/>
      <c r="AY21" s="505"/>
      <c r="AZ21" s="505"/>
      <c r="BA21" s="1164">
        <v>0</v>
      </c>
    </row>
    <row customHeight="1" ht="14.25" hidden="1">
      <c r="AA22" s="336"/>
      <c r="AS22" s="336"/>
      <c r="AV22" s="505"/>
      <c r="AW22" s="505"/>
      <c r="AX22" s="505"/>
      <c r="AY22" s="505"/>
      <c r="AZ22" s="505"/>
      <c r="BA22" s="1164">
        <v>0</v>
      </c>
    </row>
    <row s="1518" customFormat="1" customHeight="1" ht="14.25" hidden="1">
      <c r="M23" s="1517"/>
      <c r="N23" s="1517"/>
      <c r="O23" s="1518" t="s">
        <v>433</v>
      </c>
      <c r="P23" s="1517"/>
      <c r="Q23" s="1519"/>
      <c r="R23" s="1519"/>
      <c r="Y23" s="1516" t="s">
        <v>435</v>
      </c>
      <c r="AA23" s="1516" t="s">
        <v>436</v>
      </c>
      <c r="AB23" s="1516" t="s">
        <v>480</v>
      </c>
      <c r="AE23" s="1516" t="s">
        <v>481</v>
      </c>
      <c r="AF23" s="1516" t="s">
        <v>480</v>
      </c>
      <c r="AI23" s="1516" t="s">
        <v>482</v>
      </c>
      <c r="AJ23" s="1516" t="s">
        <v>480</v>
      </c>
      <c r="AM23" s="1516" t="s">
        <v>483</v>
      </c>
      <c r="AQ23" s="1516" t="s">
        <v>435</v>
      </c>
      <c r="AS23" s="1516" t="s">
        <v>436</v>
      </c>
      <c r="AV23" s="1520"/>
      <c r="AW23" s="1520"/>
      <c r="AX23" s="1520"/>
      <c r="AY23" s="1520"/>
      <c r="AZ23" s="1520"/>
      <c r="BA23" s="1516">
        <v>0</v>
      </c>
    </row>
    <row customHeight="1" ht="14.25" hidden="1">
      <c r="O24" s="1373"/>
      <c r="AV24" s="505"/>
      <c r="AW24" s="505"/>
      <c r="AX24" s="505"/>
      <c r="AY24" s="505"/>
      <c r="AZ24" s="505"/>
      <c r="BA24" s="1164">
        <v>0</v>
      </c>
    </row>
    <row customHeight="1" ht="14.25" hidden="1">
      <c r="O25" s="1373"/>
      <c r="AV25" s="505"/>
      <c r="AW25" s="505"/>
      <c r="AX25" s="505"/>
      <c r="AY25" s="505"/>
      <c r="AZ25" s="505"/>
      <c r="BA25" s="1164">
        <v>0</v>
      </c>
    </row>
    <row customHeight="1" ht="14.699999999999998">
      <c r="Q26" s="300"/>
      <c r="R26" s="385"/>
      <c r="S26" s="1284"/>
      <c r="T26" s="372"/>
      <c r="U26" s="372"/>
      <c r="V26" s="518"/>
      <c r="W26" s="518"/>
      <c r="X26" s="518"/>
      <c r="Y26" s="518"/>
      <c r="Z26" s="518"/>
      <c r="AA26" s="518"/>
      <c r="AB26" s="518"/>
      <c r="AC26" s="518"/>
      <c r="AD26" s="518"/>
      <c r="AE26" s="518"/>
      <c r="AF26" s="518"/>
      <c r="AG26" s="518"/>
      <c r="AH26" s="518"/>
      <c r="AI26" s="518"/>
      <c r="AJ26" s="518"/>
      <c r="AK26" s="518"/>
      <c r="AL26" s="518"/>
      <c r="AM26" s="518"/>
      <c r="AN26" s="518"/>
      <c r="AO26" s="518"/>
      <c r="AP26" s="518"/>
      <c r="AQ26" s="518"/>
      <c r="AR26" s="518"/>
      <c r="AS26" s="518"/>
      <c r="BA26" s="1164">
        <v>14</v>
      </c>
    </row>
    <row customHeight="1" ht="27.299999999999997">
      <c r="Q27" s="300"/>
      <c r="R27" s="385"/>
      <c r="S27" s="22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1252"/>
      <c r="BA27" s="1164">
        <v>26</v>
      </c>
    </row>
    <row customHeight="1" ht="14.699999999999998">
      <c r="Q28" s="300"/>
      <c r="R28" s="385"/>
      <c r="S28" s="2277" t="str">
        <f>IF(org=0,"Не определено",org)</f>
        <v>АО "ДГК"</v>
      </c>
      <c r="T28" s="2277"/>
      <c r="U28" s="2277"/>
      <c r="V28" s="2277"/>
      <c r="W28" s="2277"/>
      <c r="X28" s="2277"/>
      <c r="Y28" s="2277"/>
      <c r="Z28" s="2277"/>
      <c r="AA28" s="2277"/>
      <c r="AB28" s="2277"/>
      <c r="AC28" s="2277"/>
      <c r="AD28" s="2277"/>
      <c r="AE28" s="2277"/>
      <c r="AF28" s="2277"/>
      <c r="AG28" s="2277"/>
      <c r="AH28" s="2277"/>
      <c r="AI28" s="2277"/>
      <c r="AJ28" s="2277"/>
      <c r="AK28" s="2277"/>
      <c r="AL28" s="2277"/>
      <c r="AM28" s="2277"/>
      <c r="AN28" s="2277"/>
      <c r="AO28" s="2277"/>
      <c r="AP28" s="2277"/>
      <c r="AQ28" s="2277"/>
      <c r="AR28" s="2277"/>
      <c r="AS28" s="1252"/>
      <c r="BA28" s="1164">
        <v>14</v>
      </c>
    </row>
    <row customHeight="1" ht="14.25" hidden="1">
      <c r="Q29" s="300"/>
      <c r="R29" s="385"/>
      <c r="S29" s="1284"/>
      <c r="T29" s="372"/>
      <c r="U29" s="372"/>
      <c r="V29" s="331"/>
      <c r="W29" s="331"/>
      <c r="X29" s="331"/>
      <c r="Y29" s="331"/>
      <c r="Z29" s="331"/>
      <c r="AA29" s="331"/>
      <c r="AB29" s="331"/>
      <c r="AC29" s="331"/>
      <c r="AD29" s="331"/>
      <c r="AE29" s="331"/>
      <c r="AF29" s="331"/>
      <c r="AG29" s="331"/>
      <c r="AH29" s="331"/>
      <c r="AI29" s="331"/>
      <c r="AJ29" s="331"/>
      <c r="AK29" s="331"/>
      <c r="AL29" s="331"/>
      <c r="AM29" s="331"/>
      <c r="AN29" s="331"/>
      <c r="AO29" s="331"/>
      <c r="AP29" s="331"/>
      <c r="AQ29" s="331"/>
      <c r="AR29" s="331"/>
      <c r="AS29" s="331"/>
      <c r="AT29" s="518"/>
      <c r="BA29" s="1164">
        <v>0</v>
      </c>
    </row>
    <row s="1859" customFormat="1" customHeight="1" ht="25.5" hidden="1">
      <c r="A30" s="1377"/>
      <c r="B30" s="1377"/>
      <c r="C30" s="1377"/>
      <c r="D30" s="1377"/>
      <c r="E30" s="1377"/>
      <c r="F30" s="1377"/>
      <c r="G30" s="1377"/>
      <c r="H30" s="1377"/>
      <c r="I30" s="1377"/>
      <c r="J30" s="1377"/>
      <c r="K30" s="1377"/>
      <c r="L30" s="1378"/>
      <c r="M30" s="1377"/>
      <c r="N30" s="1377"/>
      <c r="O30" s="1377"/>
      <c r="P30" s="1377"/>
      <c r="Q30" s="1377"/>
      <c r="S30"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0" s="2278"/>
      <c r="U30" s="1381"/>
      <c r="V30" s="2279" t="str">
        <f>IF(TITLE_NAME_OR_PR_CHANGE="",IF(TITLE_NAME_OR_PR="","",TITLE_NAME_OR_PR),TITLE_NAME_OR_PR_CHANGE)</f>
        <v/>
      </c>
      <c r="W30" s="2279"/>
      <c r="X30" s="2279"/>
      <c r="Y30" s="2279"/>
      <c r="Z30" s="2279"/>
      <c r="AA30" s="335"/>
      <c r="AB30" s="2279" t="str">
        <f>IF(TITLE_NAME_OR_PR_CHANGE="",IF(TITLE_NAME_OR_PR="","",TITLE_NAME_OR_PR),TITLE_NAME_OR_PR_CHANGE)</f>
        <v/>
      </c>
      <c r="AC30" s="2279"/>
      <c r="AD30" s="2279"/>
      <c r="AE30" s="2279"/>
      <c r="AF30" s="2279"/>
      <c r="AG30" s="2279"/>
      <c r="AH30" s="2279"/>
      <c r="AI30" s="2279"/>
      <c r="AJ30" s="2279"/>
      <c r="AK30" s="2279"/>
      <c r="AL30" s="2279"/>
      <c r="AM30" s="2279"/>
      <c r="AN30" s="2279"/>
      <c r="AO30" s="2279"/>
      <c r="AP30" s="2279"/>
      <c r="AQ30" s="2279"/>
      <c r="AR30" s="2279"/>
      <c r="AS30" s="335"/>
      <c r="AT30" s="335"/>
      <c r="AU30" s="289"/>
      <c r="AV30" s="377"/>
      <c r="AW30" s="377"/>
      <c r="AX30" s="377"/>
      <c r="AY30" s="377"/>
      <c r="AZ30" s="377"/>
      <c r="BA30" s="427">
        <v>0</v>
      </c>
    </row>
    <row s="1859" customFormat="1" customHeight="1" ht="18.75" hidden="1">
      <c r="A31" s="1377"/>
      <c r="B31" s="1377"/>
      <c r="C31" s="1377"/>
      <c r="D31" s="1377"/>
      <c r="E31" s="1377"/>
      <c r="F31" s="1377"/>
      <c r="G31" s="1377"/>
      <c r="H31" s="1377"/>
      <c r="I31" s="1377"/>
      <c r="J31" s="1377"/>
      <c r="K31" s="1377"/>
      <c r="L31" s="1378"/>
      <c r="M31" s="1377"/>
      <c r="N31" s="1377"/>
      <c r="O31" s="1377"/>
      <c r="P31" s="1377"/>
      <c r="Q31" s="1377"/>
      <c r="S31" s="2278" t="str">
        <f>"Дата документа об "&amp;IF(TITLE_DATE_PR_CHANGE="","утверждении","изменении")&amp;" тарифов"</f>
        <v>Дата документа об утверждении тарифов</v>
      </c>
      <c r="T31" s="2278"/>
      <c r="U31" s="1381"/>
      <c r="V31" s="2292" t="str">
        <f>IF(TITLE_DATE_PR_CHANGE="",IF(TITLE_DATE_PR="","",TITLE_DATE_PR),TITLE_DATE_PR_CHANGE)</f>
        <v/>
      </c>
      <c r="W31" s="2292"/>
      <c r="X31" s="2292"/>
      <c r="Y31" s="2292"/>
      <c r="Z31" s="2292"/>
      <c r="AA31" s="335"/>
      <c r="AB31" s="2292" t="str">
        <f>IF(TITLE_DATE_PR_CHANGE="",IF(TITLE_DATE_PR="","",TITLE_DATE_PR),TITLE_DATE_PR_CHANGE)</f>
        <v/>
      </c>
      <c r="AC31" s="2292"/>
      <c r="AD31" s="2292"/>
      <c r="AE31" s="2292"/>
      <c r="AF31" s="2292"/>
      <c r="AG31" s="2292"/>
      <c r="AH31" s="2292"/>
      <c r="AI31" s="2292"/>
      <c r="AJ31" s="2292"/>
      <c r="AK31" s="2292"/>
      <c r="AL31" s="2292"/>
      <c r="AM31" s="2292"/>
      <c r="AN31" s="2292"/>
      <c r="AO31" s="2292"/>
      <c r="AP31" s="2292"/>
      <c r="AQ31" s="2292"/>
      <c r="AR31" s="2292"/>
      <c r="AS31" s="335"/>
      <c r="AT31" s="335"/>
      <c r="AU31" s="289"/>
      <c r="AV31" s="377"/>
      <c r="AW31" s="377"/>
      <c r="AX31" s="377"/>
      <c r="AY31" s="377"/>
      <c r="AZ31" s="377"/>
      <c r="BA31" s="427">
        <v>0</v>
      </c>
    </row>
    <row s="1859" customFormat="1" customHeight="1" ht="18.75" hidden="1">
      <c r="A32" s="1377"/>
      <c r="B32" s="1377"/>
      <c r="C32" s="1377"/>
      <c r="D32" s="1377"/>
      <c r="E32" s="1377"/>
      <c r="F32" s="1377"/>
      <c r="G32" s="1377"/>
      <c r="H32" s="1377"/>
      <c r="I32" s="1377"/>
      <c r="J32" s="1377"/>
      <c r="K32" s="1377"/>
      <c r="L32" s="1378"/>
      <c r="M32" s="1377"/>
      <c r="N32" s="1377"/>
      <c r="O32" s="1377"/>
      <c r="P32" s="1377"/>
      <c r="Q32" s="1377"/>
      <c r="S32" s="2278" t="str">
        <f>"Номер документа об "&amp;IF(TITLE_DATE_PR_CHANGE="","утверждении","изменении")&amp;" тарифов"</f>
        <v>Номер документа об утверждении тарифов</v>
      </c>
      <c r="T32" s="2278"/>
      <c r="U32" s="1381"/>
      <c r="V32" s="2279" t="str">
        <f>IF(TITLE_NUMBER_PR_CHANGE="",IF(TITLE_NUMBER_PR="","",TITLE_NUMBER_PR),TITLE_NUMBER_PR_CHANGE)</f>
        <v/>
      </c>
      <c r="W32" s="2279"/>
      <c r="X32" s="2279"/>
      <c r="Y32" s="2279"/>
      <c r="Z32" s="2279"/>
      <c r="AA32" s="335"/>
      <c r="AB32" s="2279" t="str">
        <f>IF(TITLE_NUMBER_PR_CHANGE="",IF(TITLE_NUMBER_PR="","",TITLE_NUMBER_PR),TITLE_NUMBER_PR_CHANGE)</f>
        <v/>
      </c>
      <c r="AC32" s="2279"/>
      <c r="AD32" s="2279"/>
      <c r="AE32" s="2279"/>
      <c r="AF32" s="2279"/>
      <c r="AG32" s="2279"/>
      <c r="AH32" s="2279"/>
      <c r="AI32" s="2279"/>
      <c r="AJ32" s="2279"/>
      <c r="AK32" s="2279"/>
      <c r="AL32" s="2279"/>
      <c r="AM32" s="2279"/>
      <c r="AN32" s="2279"/>
      <c r="AO32" s="2279"/>
      <c r="AP32" s="2279"/>
      <c r="AQ32" s="2279"/>
      <c r="AR32" s="2279"/>
      <c r="AS32" s="335"/>
      <c r="AT32" s="335"/>
      <c r="AU32" s="289"/>
      <c r="AV32" s="377"/>
      <c r="AW32" s="377"/>
      <c r="AX32" s="377"/>
      <c r="AY32" s="377"/>
      <c r="AZ32" s="377"/>
      <c r="BA32" s="427">
        <v>0</v>
      </c>
    </row>
    <row s="1859" customFormat="1" customHeight="1" ht="18.75" hidden="1">
      <c r="A33" s="1377"/>
      <c r="B33" s="1377"/>
      <c r="C33" s="1377"/>
      <c r="D33" s="1377"/>
      <c r="E33" s="1377"/>
      <c r="F33" s="1377"/>
      <c r="G33" s="1377"/>
      <c r="H33" s="1377"/>
      <c r="I33" s="1377"/>
      <c r="J33" s="1377"/>
      <c r="K33" s="1377"/>
      <c r="L33" s="1378"/>
      <c r="M33" s="1377"/>
      <c r="N33" s="1377"/>
      <c r="O33" s="1377"/>
      <c r="P33" s="1377"/>
      <c r="Q33" s="1377"/>
      <c r="S33" s="2278" t="s">
        <v>43</v>
      </c>
      <c r="T33" s="2278"/>
      <c r="U33" s="1381"/>
      <c r="V33" s="2279" t="str">
        <f>IF(TITLE_IST_PUB_CHANGE="",IF(TITLE_IST_PUB="","",TITLE_IST_PUB),TITLE_IST_PUB_CHANGE)</f>
        <v/>
      </c>
      <c r="W33" s="2279"/>
      <c r="X33" s="2279"/>
      <c r="Y33" s="2279"/>
      <c r="Z33" s="2279"/>
      <c r="AA33" s="335"/>
      <c r="AB33" s="2279" t="str">
        <f>IF(TITLE_IST_PUB_CHANGE="",IF(TITLE_IST_PUB="","",TITLE_IST_PUB),TITLE_IST_PUB_CHANGE)</f>
        <v/>
      </c>
      <c r="AC33" s="2279"/>
      <c r="AD33" s="2279"/>
      <c r="AE33" s="2279"/>
      <c r="AF33" s="2279"/>
      <c r="AG33" s="2279"/>
      <c r="AH33" s="2279"/>
      <c r="AI33" s="2279"/>
      <c r="AJ33" s="2279"/>
      <c r="AK33" s="2279"/>
      <c r="AL33" s="2279"/>
      <c r="AM33" s="2279"/>
      <c r="AN33" s="2279"/>
      <c r="AO33" s="2279"/>
      <c r="AP33" s="2279"/>
      <c r="AQ33" s="2279"/>
      <c r="AR33" s="2279"/>
      <c r="AS33" s="335"/>
      <c r="AT33" s="335"/>
      <c r="AU33" s="289"/>
      <c r="AV33" s="377"/>
      <c r="AW33" s="377"/>
      <c r="AX33" s="377"/>
      <c r="AY33" s="377"/>
      <c r="AZ33" s="377"/>
      <c r="BA33" s="427">
        <v>0</v>
      </c>
    </row>
    <row customHeight="1" ht="14.25" hidden="1">
      <c r="Q34" s="300"/>
      <c r="R34" s="385"/>
      <c r="S34" s="1284"/>
      <c r="T34" s="466"/>
      <c r="U34" s="372"/>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518"/>
      <c r="BA34" s="1164">
        <v>0</v>
      </c>
    </row>
    <row s="1859" customFormat="1" customHeight="1" ht="18.75" hidden="1">
      <c r="A35" s="1377"/>
      <c r="B35" s="1377"/>
      <c r="C35" s="1377"/>
      <c r="D35" s="1377"/>
      <c r="E35" s="1377"/>
      <c r="F35" s="1377"/>
      <c r="G35" s="1377"/>
      <c r="H35" s="1377"/>
      <c r="I35" s="1377"/>
      <c r="J35" s="1377"/>
      <c r="K35" s="1377"/>
      <c r="L35" s="1378"/>
      <c r="M35" s="1377"/>
      <c r="N35" s="1377"/>
      <c r="O35" s="1377"/>
      <c r="P35" s="1377"/>
      <c r="Q35" s="1377"/>
      <c r="S35" s="2278" t="str">
        <f>"Дата подачи заявления об "&amp;IF(TITLE_DATE_PR_CHANGE="","утверждении","изменении")&amp;" тарифов"</f>
        <v>Дата подачи заявления об утверждении тарифов</v>
      </c>
      <c r="T35" s="2278"/>
      <c r="U35" s="1381"/>
      <c r="V35" s="2292" t="str">
        <f>IF(TITLE_DATE_PR_CHANGE="",IF(TITLE_DATE_PR="","",TITLE_DATE_PR),TITLE_DATE_PR_CHANGE)</f>
        <v/>
      </c>
      <c r="W35" s="2292"/>
      <c r="X35" s="2292"/>
      <c r="Y35" s="2292"/>
      <c r="Z35" s="2292"/>
      <c r="AA35" s="335"/>
      <c r="AB35" s="2292" t="str">
        <f>IF(TITLE_DATE_PR_CHANGE="",IF(TITLE_DATE_PR="","",TITLE_DATE_PR),TITLE_DATE_PR_CHANGE)</f>
        <v/>
      </c>
      <c r="AC35" s="2292"/>
      <c r="AD35" s="2292"/>
      <c r="AE35" s="2292"/>
      <c r="AF35" s="2292"/>
      <c r="AG35" s="2292"/>
      <c r="AH35" s="2292"/>
      <c r="AI35" s="2292"/>
      <c r="AJ35" s="2292"/>
      <c r="AK35" s="2292"/>
      <c r="AL35" s="2292"/>
      <c r="AM35" s="2292"/>
      <c r="AN35" s="2292"/>
      <c r="AO35" s="2292"/>
      <c r="AP35" s="2292"/>
      <c r="AQ35" s="2292"/>
      <c r="AR35" s="2292"/>
      <c r="AS35" s="335"/>
      <c r="AT35" s="335"/>
      <c r="AU35" s="289"/>
      <c r="AV35" s="377"/>
      <c r="AW35" s="377"/>
      <c r="AX35" s="377"/>
      <c r="AY35" s="377"/>
      <c r="AZ35" s="377"/>
      <c r="BA35" s="427">
        <v>0</v>
      </c>
    </row>
    <row s="1859" customFormat="1" customHeight="1" ht="18" hidden="1">
      <c r="A36" s="1377"/>
      <c r="B36" s="1377"/>
      <c r="C36" s="1377"/>
      <c r="D36" s="1377"/>
      <c r="E36" s="1377"/>
      <c r="F36" s="1377"/>
      <c r="G36" s="1377"/>
      <c r="H36" s="1377"/>
      <c r="I36" s="1377"/>
      <c r="J36" s="1377"/>
      <c r="K36" s="1377"/>
      <c r="L36" s="1378"/>
      <c r="M36" s="1377"/>
      <c r="N36" s="1377"/>
      <c r="O36" s="1377"/>
      <c r="P36" s="1377"/>
      <c r="Q36" s="1377"/>
      <c r="S36" s="2278" t="str">
        <f>"Номер подачи заявления об "&amp;IF(TITLE_DATE_PR_CHANGE="","утверждении","изменении")&amp;" тарифов"</f>
        <v>Номер подачи заявления об утверждении тарифов</v>
      </c>
      <c r="T36" s="2278"/>
      <c r="U36" s="1381"/>
      <c r="V36" s="2279" t="str">
        <f>IF(TITLE_NUMBER_PR_CHANGE="",IF(TITLE_NUMBER_PR="","",TITLE_NUMBER_PR),TITLE_NUMBER_PR_CHANGE)</f>
        <v/>
      </c>
      <c r="W36" s="2279"/>
      <c r="X36" s="2279"/>
      <c r="Y36" s="2279"/>
      <c r="Z36" s="2279"/>
      <c r="AA36" s="335"/>
      <c r="AB36" s="2279" t="str">
        <f>IF(TITLE_NUMBER_PR_CHANGE="",IF(TITLE_NUMBER_PR="","",TITLE_NUMBER_PR),TITLE_NUMBER_PR_CHANGE)</f>
        <v/>
      </c>
      <c r="AC36" s="2279"/>
      <c r="AD36" s="2279"/>
      <c r="AE36" s="2279"/>
      <c r="AF36" s="2279"/>
      <c r="AG36" s="2279"/>
      <c r="AH36" s="2279"/>
      <c r="AI36" s="2279"/>
      <c r="AJ36" s="2279"/>
      <c r="AK36" s="2279"/>
      <c r="AL36" s="2279"/>
      <c r="AM36" s="2279"/>
      <c r="AN36" s="2279"/>
      <c r="AO36" s="2279"/>
      <c r="AP36" s="2279"/>
      <c r="AQ36" s="2279"/>
      <c r="AR36" s="2279"/>
      <c r="AS36" s="335"/>
      <c r="AT36" s="335"/>
      <c r="AU36" s="289"/>
      <c r="AV36" s="377"/>
      <c r="AW36" s="377"/>
      <c r="AX36" s="377"/>
      <c r="AY36" s="377"/>
      <c r="AZ36" s="377"/>
      <c r="BA36" s="427">
        <v>0</v>
      </c>
    </row>
    <row s="1859" customFormat="1" customHeight="1" ht="1.05">
      <c r="A37" s="1377"/>
      <c r="B37" s="1377"/>
      <c r="C37" s="1377"/>
      <c r="D37" s="1377"/>
      <c r="E37" s="1377"/>
      <c r="F37" s="1377"/>
      <c r="G37" s="1377"/>
      <c r="H37" s="1377"/>
      <c r="I37" s="1377"/>
      <c r="J37" s="1377"/>
      <c r="K37" s="1377"/>
      <c r="L37" s="1378"/>
      <c r="M37" s="1377"/>
      <c r="N37" s="1377"/>
      <c r="O37" s="1377"/>
      <c r="P37" s="1377"/>
      <c r="Q37" s="1377"/>
      <c r="S37" s="332"/>
      <c r="T37" s="332"/>
      <c r="U37" s="1349"/>
      <c r="V37" s="335"/>
      <c r="W37" s="335"/>
      <c r="X37" s="335"/>
      <c r="Y37" s="335"/>
      <c r="Z37" s="335"/>
      <c r="AA37" s="287" t="s">
        <v>438</v>
      </c>
      <c r="AB37" s="335"/>
      <c r="AC37" s="335"/>
      <c r="AD37" s="335"/>
      <c r="AE37" s="335"/>
      <c r="AF37" s="335"/>
      <c r="AG37" s="335"/>
      <c r="AH37" s="335"/>
      <c r="AI37" s="335"/>
      <c r="AJ37" s="335"/>
      <c r="AK37" s="335"/>
      <c r="AL37" s="335"/>
      <c r="AM37" s="335"/>
      <c r="AN37" s="335"/>
      <c r="AO37" s="335"/>
      <c r="AP37" s="335"/>
      <c r="AQ37" s="335"/>
      <c r="AR37" s="335"/>
      <c r="AS37" s="287" t="s">
        <v>438</v>
      </c>
      <c r="AV37" s="377"/>
      <c r="AW37" s="377"/>
      <c r="AX37" s="377"/>
      <c r="AY37" s="377"/>
      <c r="AZ37" s="377"/>
      <c r="BA37" s="427">
        <v>1</v>
      </c>
    </row>
    <row customHeight="1" ht="14.699999999999998">
      <c r="Q38" s="300"/>
      <c r="R38" s="385"/>
      <c r="S38" s="1284"/>
      <c r="T38" s="372"/>
      <c r="U38" s="1253"/>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c r="AS38" s="2280"/>
      <c r="BA38" s="1164">
        <v>14</v>
      </c>
    </row>
    <row customHeight="1" ht="14.699999999999998">
      <c r="Q39" s="300"/>
      <c r="R39" s="385"/>
      <c r="S39" s="2155" t="s">
        <v>315</v>
      </c>
      <c r="T39" s="2155"/>
      <c r="U39" s="2155"/>
      <c r="V39" s="2155"/>
      <c r="W39" s="2155"/>
      <c r="X39" s="2155"/>
      <c r="Y39" s="2155"/>
      <c r="Z39" s="2155"/>
      <c r="AA39" s="2155"/>
      <c r="AB39" s="2203"/>
      <c r="AC39" s="2203"/>
      <c r="AD39" s="2203"/>
      <c r="AE39" s="2203"/>
      <c r="AF39" s="2155"/>
      <c r="AG39" s="2155"/>
      <c r="AH39" s="2155"/>
      <c r="AI39" s="2155"/>
      <c r="AJ39" s="2155"/>
      <c r="AK39" s="2155"/>
      <c r="AL39" s="2155"/>
      <c r="AM39" s="2155"/>
      <c r="AN39" s="2155"/>
      <c r="AO39" s="2155"/>
      <c r="AP39" s="2155"/>
      <c r="AQ39" s="2155"/>
      <c r="AR39" s="2155"/>
      <c r="AS39" s="2155"/>
      <c r="AT39" s="2155"/>
      <c r="AU39" s="2155" t="s">
        <v>316</v>
      </c>
      <c r="BA39" s="1164">
        <v>14</v>
      </c>
    </row>
    <row customHeight="1" ht="14.699999999999998">
      <c r="Q40" s="300"/>
      <c r="R40" s="385"/>
      <c r="S40" s="2301" t="s">
        <v>89</v>
      </c>
      <c r="T40" s="2237" t="s">
        <v>484</v>
      </c>
      <c r="U40" s="310"/>
      <c r="V40" s="2303"/>
      <c r="W40" s="2303"/>
      <c r="X40" s="2303"/>
      <c r="Y40" s="2303"/>
      <c r="Z40" s="2304"/>
      <c r="AA40" s="2364" t="s">
        <v>441</v>
      </c>
      <c r="AB40" s="2356" t="s">
        <v>485</v>
      </c>
      <c r="AC40" s="2319"/>
      <c r="AD40" s="2319"/>
      <c r="AE40" s="2357"/>
      <c r="AF40" s="2319" t="s">
        <v>486</v>
      </c>
      <c r="AG40" s="2319"/>
      <c r="AH40" s="2319"/>
      <c r="AI40" s="2357"/>
      <c r="AJ40" s="2356" t="s">
        <v>487</v>
      </c>
      <c r="AK40" s="2319"/>
      <c r="AL40" s="2319"/>
      <c r="AM40" s="2357"/>
      <c r="AN40" s="2356" t="s">
        <v>440</v>
      </c>
      <c r="AO40" s="2319"/>
      <c r="AP40" s="2303"/>
      <c r="AQ40" s="2303"/>
      <c r="AR40" s="2304"/>
      <c r="AS40" s="2305" t="s">
        <v>441</v>
      </c>
      <c r="AT40" s="2308" t="s">
        <v>443</v>
      </c>
      <c r="AU40" s="2155"/>
      <c r="BA40" s="1164">
        <v>14</v>
      </c>
    </row>
    <row customHeight="1" ht="35.699999999999996">
      <c r="Q41" s="300"/>
      <c r="R41" s="385"/>
      <c r="S41" s="2301"/>
      <c r="T41" s="2237"/>
      <c r="U41" s="1040"/>
      <c r="V41" s="2155" t="s">
        <v>488</v>
      </c>
      <c r="W41" s="2155"/>
      <c r="X41" s="2322" t="s">
        <v>447</v>
      </c>
      <c r="Y41" s="2341"/>
      <c r="Z41" s="2342"/>
      <c r="AA41" s="2365"/>
      <c r="AB41" s="2358"/>
      <c r="AC41" s="2359"/>
      <c r="AD41" s="2359"/>
      <c r="AE41" s="2360"/>
      <c r="AF41" s="2359"/>
      <c r="AG41" s="2359"/>
      <c r="AH41" s="2359"/>
      <c r="AI41" s="2360"/>
      <c r="AJ41" s="2358"/>
      <c r="AK41" s="2359"/>
      <c r="AL41" s="2359"/>
      <c r="AM41" s="2359"/>
      <c r="AN41" s="2155" t="s">
        <v>488</v>
      </c>
      <c r="AO41" s="2155"/>
      <c r="AP41" s="2341" t="s">
        <v>447</v>
      </c>
      <c r="AQ41" s="2341"/>
      <c r="AR41" s="2342"/>
      <c r="AS41" s="2306"/>
      <c r="AT41" s="2309"/>
      <c r="AU41" s="2155"/>
      <c r="BA41" s="1164">
        <v>34</v>
      </c>
    </row>
    <row customHeight="1" ht="14.699999999999998">
      <c r="Q42" s="300"/>
      <c r="R42" s="385"/>
      <c r="S42" s="2301"/>
      <c r="T42" s="2237"/>
      <c r="U42" s="1040"/>
      <c r="V42" s="2368" t="str">
        <f>IF($AN$42&lt;&gt;"",$AN$42,"")</f>
        <v/>
      </c>
      <c r="W42" s="2368"/>
      <c r="X42" s="2323"/>
      <c r="Y42" s="2343"/>
      <c r="Z42" s="2344"/>
      <c r="AA42" s="2365"/>
      <c r="AB42" s="2358"/>
      <c r="AC42" s="2359"/>
      <c r="AD42" s="2359"/>
      <c r="AE42" s="2360"/>
      <c r="AF42" s="2359"/>
      <c r="AG42" s="2359"/>
      <c r="AH42" s="2359"/>
      <c r="AI42" s="2360"/>
      <c r="AJ42" s="2358"/>
      <c r="AK42" s="2359"/>
      <c r="AL42" s="2359"/>
      <c r="AM42" s="2359"/>
      <c r="AN42" s="2367"/>
      <c r="AO42" s="2367"/>
      <c r="AP42" s="2343"/>
      <c r="AQ42" s="2343"/>
      <c r="AR42" s="2344"/>
      <c r="AS42" s="2306"/>
      <c r="AT42" s="2309"/>
      <c r="AU42" s="2155"/>
      <c r="BA42" s="1164">
        <v>14</v>
      </c>
    </row>
    <row customHeight="1" ht="14.699999999999998">
      <c r="A43" s="1379"/>
      <c r="B43" s="1379" t="s">
        <v>152</v>
      </c>
      <c r="C43" s="1379" t="s">
        <v>153</v>
      </c>
      <c r="D43" s="1379" t="s">
        <v>154</v>
      </c>
      <c r="E43" s="1373" t="s">
        <v>448</v>
      </c>
      <c r="F43" s="1373" t="s">
        <v>449</v>
      </c>
      <c r="G43" s="1373" t="s">
        <v>450</v>
      </c>
      <c r="H43" s="1373" t="s">
        <v>451</v>
      </c>
      <c r="I43" s="1373" t="s">
        <v>452</v>
      </c>
      <c r="J43" s="1373" t="s">
        <v>453</v>
      </c>
      <c r="K43" s="1373" t="s">
        <v>454</v>
      </c>
      <c r="L43" s="1373" t="s">
        <v>433</v>
      </c>
      <c r="Q43" s="300"/>
      <c r="R43" s="385"/>
      <c r="S43" s="2301"/>
      <c r="T43" s="2237"/>
      <c r="U43" s="311"/>
      <c r="V43" s="1339" t="s">
        <v>489</v>
      </c>
      <c r="W43" s="1339" t="s">
        <v>490</v>
      </c>
      <c r="X43" s="1347" t="s">
        <v>457</v>
      </c>
      <c r="Y43" s="2298" t="s">
        <v>458</v>
      </c>
      <c r="Z43" s="2299"/>
      <c r="AA43" s="2366"/>
      <c r="AB43" s="2361"/>
      <c r="AC43" s="2362"/>
      <c r="AD43" s="2362"/>
      <c r="AE43" s="2363"/>
      <c r="AF43" s="2362"/>
      <c r="AG43" s="2362"/>
      <c r="AH43" s="2362"/>
      <c r="AI43" s="2363"/>
      <c r="AJ43" s="2361"/>
      <c r="AK43" s="2362"/>
      <c r="AL43" s="2362"/>
      <c r="AM43" s="2363"/>
      <c r="AN43" s="1866" t="s">
        <v>489</v>
      </c>
      <c r="AO43" s="1866" t="s">
        <v>490</v>
      </c>
      <c r="AP43" s="1347" t="s">
        <v>457</v>
      </c>
      <c r="AQ43" s="2298" t="s">
        <v>458</v>
      </c>
      <c r="AR43" s="2299"/>
      <c r="AS43" s="2307"/>
      <c r="AT43" s="2310"/>
      <c r="AU43" s="2155"/>
      <c r="BA43" s="1164">
        <v>14</v>
      </c>
    </row>
    <row s="1650" customFormat="1" customHeight="1" ht="11.25" hidden="1">
      <c r="A44" s="1379"/>
      <c r="B44" s="1379"/>
      <c r="C44" s="1379"/>
      <c r="D44" s="1379"/>
      <c r="E44" s="1379"/>
      <c r="F44" s="1379"/>
      <c r="G44" s="1379"/>
      <c r="H44" s="1379"/>
      <c r="I44" s="1379"/>
      <c r="J44" s="1379"/>
      <c r="K44" s="1379"/>
      <c r="L44" s="1373"/>
      <c r="M44" s="1371"/>
      <c r="N44" s="1371"/>
      <c r="O44" s="1371"/>
      <c r="P44" s="519"/>
      <c r="Q44" s="1263"/>
      <c r="R44" s="1263">
        <v>1</v>
      </c>
      <c r="S44" s="1286" t="s">
        <v>118</v>
      </c>
      <c r="T44" s="1264" t="s">
        <v>103</v>
      </c>
      <c r="U44" s="1254" t="str">
        <f>OFFSET(U44,0,-1)</f>
        <v>2</v>
      </c>
      <c r="V44" s="1344">
        <f>OFFSET(V44,0,-1)+1</f>
        <v>3</v>
      </c>
      <c r="W44" s="1344">
        <f>OFFSET(W44,0,-1)+1</f>
        <v>4</v>
      </c>
      <c r="X44" s="1344">
        <f>OFFSET(X44,0,-1)+1</f>
        <v>5</v>
      </c>
      <c r="Y44" s="2300">
        <f>OFFSET(Y44,0,-1)+1</f>
        <v>6</v>
      </c>
      <c r="Z44" s="2300"/>
      <c r="AA44" s="1344">
        <f>OFFSET(AA44,0,-2)+1</f>
        <v>7</v>
      </c>
      <c r="AB44" s="1350">
        <f>OFFSET(AB44,0,-1)+1</f>
        <v>8</v>
      </c>
      <c r="AC44" s="1350"/>
      <c r="AD44" s="1350"/>
      <c r="AE44" s="1350"/>
      <c r="AF44" s="1344"/>
      <c r="AG44" s="1344"/>
      <c r="AH44" s="1344"/>
      <c r="AI44" s="1344"/>
      <c r="AJ44" s="1344"/>
      <c r="AK44" s="1344"/>
      <c r="AL44" s="1344"/>
      <c r="AM44" s="1344"/>
      <c r="AN44" s="1344">
        <f>OFFSET(AN44,0,-1)+1</f>
        <v>1</v>
      </c>
      <c r="AO44" s="1344">
        <f>OFFSET(AO44,0,-1)+1</f>
        <v>2</v>
      </c>
      <c r="AP44" s="1344">
        <f>OFFSET(AP44,0,-1)+1</f>
        <v>3</v>
      </c>
      <c r="AQ44" s="2300">
        <f>OFFSET(AQ44,0,-1)+1</f>
        <v>4</v>
      </c>
      <c r="AR44" s="2300"/>
      <c r="AS44" s="1344">
        <f>OFFSET(AS44,0,-2)+1</f>
        <v>5</v>
      </c>
      <c r="AT44" s="1254">
        <f>OFFSET(AT44,0,-1)</f>
        <v>5</v>
      </c>
      <c r="AU44" s="1344">
        <f>OFFSET(AU44,0,-1)+1</f>
        <v>6</v>
      </c>
      <c r="AV44" s="520"/>
      <c r="AW44" s="520"/>
      <c r="AX44" s="520"/>
      <c r="AY44" s="520"/>
      <c r="AZ44" s="520"/>
      <c r="BA44" s="505">
        <v>0</v>
      </c>
    </row>
    <row customHeight="1" ht="107.25">
      <c r="A45" s="1372" t="s">
        <v>215</v>
      </c>
      <c r="B45" s="1372"/>
      <c r="C45" s="1372"/>
      <c r="D45" s="1372"/>
      <c r="E45" s="2286">
        <v>1</v>
      </c>
      <c r="F45" s="1372"/>
      <c r="G45" s="1372"/>
      <c r="H45" s="1372"/>
      <c r="I45" s="1372"/>
      <c r="J45" s="1372"/>
      <c r="K45" s="1372"/>
      <c r="L45" s="1373"/>
      <c r="M45" s="1374"/>
      <c r="N45" s="1374"/>
      <c r="O45" s="1374"/>
      <c r="P45" s="1418"/>
      <c r="Q45" s="882"/>
      <c r="R45" s="364"/>
      <c r="S45" s="1345">
        <f>INDEX(PT_DIFFERENTIATION_NUM_NTAR,MATCH(A45,PT_DIFFERENTIATION_NTAR_ID,0))</f>
        <v>0</v>
      </c>
      <c r="T45" s="307" t="s">
        <v>140</v>
      </c>
      <c r="U45" s="309"/>
      <c r="V45" s="2271"/>
      <c r="W45" s="2271"/>
      <c r="X45" s="2271"/>
      <c r="Y45" s="2271"/>
      <c r="Z45" s="2271"/>
      <c r="AA45" s="2272"/>
      <c r="AB45" s="2270" t="str">
        <f>INDEX(PT_DIFFERENTIATION_NTAR,MATCH(A45,PT_DIFFERENTIATION_NTAR_ID,0))</f>
        <v/>
      </c>
      <c r="AC45" s="2271"/>
      <c r="AD45" s="2271"/>
      <c r="AE45" s="2271"/>
      <c r="AF45" s="2271"/>
      <c r="AG45" s="2271"/>
      <c r="AH45" s="2271"/>
      <c r="AI45" s="2271"/>
      <c r="AJ45" s="2271"/>
      <c r="AK45" s="2271"/>
      <c r="AL45" s="2271"/>
      <c r="AM45" s="2271"/>
      <c r="AN45" s="2271"/>
      <c r="AO45" s="2271"/>
      <c r="AP45" s="2271"/>
      <c r="AQ45" s="2271"/>
      <c r="AR45" s="2271"/>
      <c r="AS45" s="2271"/>
      <c r="AT45" s="2272"/>
      <c r="AU45"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9"/>
      <c r="AX45" s="509" t="str">
        <f>IF(T45="","",T45)</f>
        <v>Наименование тарифа</v>
      </c>
      <c r="AY45" s="509"/>
      <c r="AZ45" s="509"/>
      <c r="BA45" s="1164">
        <v>102</v>
      </c>
    </row>
    <row customHeight="1" ht="22.049999999999997">
      <c r="A46" s="1372" t="s">
        <v>215</v>
      </c>
      <c r="B46" s="1372" t="s">
        <v>216</v>
      </c>
      <c r="C46" s="1372"/>
      <c r="D46" s="1372"/>
      <c r="E46" s="2287"/>
      <c r="F46" s="2286">
        <v>1</v>
      </c>
      <c r="G46" s="1372"/>
      <c r="H46" s="1372"/>
      <c r="I46" s="1372"/>
      <c r="J46" s="1372"/>
      <c r="K46" s="1372"/>
      <c r="L46" s="1373"/>
      <c r="M46" s="1374"/>
      <c r="N46" s="1374"/>
      <c r="O46" s="1374"/>
      <c r="P46" s="1419"/>
      <c r="Q46" s="1420"/>
      <c r="R46" s="362"/>
      <c r="S46" s="1345" t="str">
        <f>INDEX(PT_DIFFERENTIATION_NUM_TER,MATCH(B46,PT_DIFFERENTIATION_TER_ID,0))</f>
        <v>.</v>
      </c>
      <c r="T46" s="317" t="s">
        <v>412</v>
      </c>
      <c r="U46" s="309"/>
      <c r="V46" s="2271"/>
      <c r="W46" s="2271"/>
      <c r="X46" s="2271"/>
      <c r="Y46" s="2271"/>
      <c r="Z46" s="2271"/>
      <c r="AA46" s="2272"/>
      <c r="AB46" s="2270" t="str">
        <f>INDEX(PT_DIFFERENTIATION_TER,MATCH(B46,PT_DIFFERENTIATION_TER_ID,0))</f>
        <v/>
      </c>
      <c r="AC46" s="2271"/>
      <c r="AD46" s="2271"/>
      <c r="AE46" s="2271"/>
      <c r="AF46" s="2271"/>
      <c r="AG46" s="2271"/>
      <c r="AH46" s="2271"/>
      <c r="AI46" s="2271"/>
      <c r="AJ46" s="2271"/>
      <c r="AK46" s="2271"/>
      <c r="AL46" s="2271"/>
      <c r="AM46" s="2271"/>
      <c r="AN46" s="2271"/>
      <c r="AO46" s="2271"/>
      <c r="AP46" s="2271"/>
      <c r="AQ46" s="2271"/>
      <c r="AR46" s="2271"/>
      <c r="AS46" s="2271"/>
      <c r="AT46" s="2272"/>
      <c r="AU46" s="1267" t="s">
        <v>413</v>
      </c>
      <c r="AW46" s="509"/>
      <c r="AX46" s="509" t="str">
        <f>IF(T46="","",T46)</f>
        <v>Территория действия тарифа</v>
      </c>
      <c r="AY46" s="509"/>
      <c r="AZ46" s="509"/>
      <c r="BA46" s="1164">
        <v>21</v>
      </c>
    </row>
    <row customHeight="1" ht="24">
      <c r="A47" s="1372" t="s">
        <v>215</v>
      </c>
      <c r="B47" s="1372" t="s">
        <v>216</v>
      </c>
      <c r="C47" s="1372" t="s">
        <v>217</v>
      </c>
      <c r="D47" s="1372"/>
      <c r="E47" s="2287"/>
      <c r="F47" s="2287"/>
      <c r="G47" s="2286">
        <v>1</v>
      </c>
      <c r="H47" s="1372"/>
      <c r="I47" s="1372"/>
      <c r="J47" s="1372"/>
      <c r="K47" s="1372"/>
      <c r="L47" s="1373"/>
      <c r="M47" s="1374"/>
      <c r="N47" s="1374"/>
      <c r="O47" s="1374"/>
      <c r="P47" s="1421"/>
      <c r="Q47" s="1420"/>
      <c r="R47" s="362"/>
      <c r="S47" s="1345" t="str">
        <f>INDEX(PT_DIFFERENTIATION_NUM_CS,MATCH(C47,PT_DIFFERENTIATION_CS_ID,0))</f>
        <v>..</v>
      </c>
      <c r="T47" s="318" t="s">
        <v>414</v>
      </c>
      <c r="U47" s="309"/>
      <c r="V47" s="2271"/>
      <c r="W47" s="2271"/>
      <c r="X47" s="2271"/>
      <c r="Y47" s="2271"/>
      <c r="Z47" s="2271"/>
      <c r="AA47" s="2272"/>
      <c r="AB47" s="2270" t="str">
        <f>INDEX(PT_DIFFERENTIATION_CS,MATCH(C47,PT_DIFFERENTIATION_CS_ID,0))</f>
        <v/>
      </c>
      <c r="AC47" s="2271"/>
      <c r="AD47" s="2271"/>
      <c r="AE47" s="2271"/>
      <c r="AF47" s="2271"/>
      <c r="AG47" s="2271"/>
      <c r="AH47" s="2271"/>
      <c r="AI47" s="2271"/>
      <c r="AJ47" s="2271"/>
      <c r="AK47" s="2271"/>
      <c r="AL47" s="2271"/>
      <c r="AM47" s="2271"/>
      <c r="AN47" s="2271"/>
      <c r="AO47" s="2271"/>
      <c r="AP47" s="2271"/>
      <c r="AQ47" s="2271"/>
      <c r="AR47" s="2271"/>
      <c r="AS47" s="2271"/>
      <c r="AT47" s="2272"/>
      <c r="AU47" s="1267" t="s">
        <v>415</v>
      </c>
      <c r="AW47" s="509"/>
      <c r="AX47" s="509" t="str">
        <f>IF(T47="","",T47)</f>
        <v>Наименование системы теплоснабжения </v>
      </c>
      <c r="AY47" s="509"/>
      <c r="AZ47" s="509"/>
      <c r="BA47" s="1164">
        <v>23</v>
      </c>
    </row>
    <row customHeight="1" ht="21">
      <c r="A48" s="1372" t="s">
        <v>215</v>
      </c>
      <c r="B48" s="1372" t="s">
        <v>216</v>
      </c>
      <c r="C48" s="1372" t="s">
        <v>217</v>
      </c>
      <c r="D48" s="1372" t="s">
        <v>218</v>
      </c>
      <c r="E48" s="2287"/>
      <c r="F48" s="2287"/>
      <c r="G48" s="2287"/>
      <c r="H48" s="2286">
        <v>1</v>
      </c>
      <c r="I48" s="1372"/>
      <c r="J48" s="1372"/>
      <c r="K48" s="1372"/>
      <c r="L48" s="1373"/>
      <c r="M48" s="1374"/>
      <c r="N48" s="1374"/>
      <c r="O48" s="1374"/>
      <c r="P48" s="1421"/>
      <c r="Q48" s="1420"/>
      <c r="R48" s="362"/>
      <c r="S48" s="1345" t="str">
        <f>INDEX(PT_DIFFERENTIATION_NUM_IST_TE,MATCH(D48,PT_DIFFERENTIATION_IST_TE_ID,0))</f>
        <v>...</v>
      </c>
      <c r="T48" s="319" t="s">
        <v>416</v>
      </c>
      <c r="U48" s="309"/>
      <c r="V48" s="2271"/>
      <c r="W48" s="2271"/>
      <c r="X48" s="2271"/>
      <c r="Y48" s="2271"/>
      <c r="Z48" s="2271"/>
      <c r="AA48" s="2272"/>
      <c r="AB48" s="2270" t="str">
        <f>INDEX(PT_DIFFERENTIATION_IST_TE,MATCH(D48,PT_DIFFERENTIATION_IST_TE_ID,0))</f>
        <v/>
      </c>
      <c r="AC48" s="2271"/>
      <c r="AD48" s="2271"/>
      <c r="AE48" s="2271"/>
      <c r="AF48" s="2271"/>
      <c r="AG48" s="2271"/>
      <c r="AH48" s="2271"/>
      <c r="AI48" s="2271"/>
      <c r="AJ48" s="2271"/>
      <c r="AK48" s="2271"/>
      <c r="AL48" s="2271"/>
      <c r="AM48" s="2271"/>
      <c r="AN48" s="2271"/>
      <c r="AO48" s="2271"/>
      <c r="AP48" s="2271"/>
      <c r="AQ48" s="2271"/>
      <c r="AR48" s="2271"/>
      <c r="AS48" s="2271"/>
      <c r="AT48" s="2272"/>
      <c r="AU48" s="1267" t="s">
        <v>417</v>
      </c>
      <c r="AW48" s="509"/>
      <c r="AX48" s="509" t="str">
        <f>IF(T48="","",T48)</f>
        <v>Источник тепловой энергии  </v>
      </c>
      <c r="AY48" s="509"/>
      <c r="AZ48" s="509"/>
      <c r="BA48" s="1164">
        <v>20</v>
      </c>
    </row>
    <row s="1651" customFormat="1" customHeight="1" ht="1.05">
      <c r="A49" s="1352" t="s">
        <v>215</v>
      </c>
      <c r="B49" s="1352" t="s">
        <v>216</v>
      </c>
      <c r="C49" s="1352" t="s">
        <v>217</v>
      </c>
      <c r="D49" s="1352" t="s">
        <v>218</v>
      </c>
      <c r="E49" s="2287"/>
      <c r="F49" s="2287"/>
      <c r="G49" s="2287"/>
      <c r="H49" s="2287"/>
      <c r="I49" s="2284" t="str">
        <f>S48&amp;".1"</f>
        <v>....1</v>
      </c>
      <c r="J49" s="1352"/>
      <c r="K49" s="1352"/>
      <c r="L49" s="1355" t="s">
        <v>418</v>
      </c>
      <c r="M49" s="519"/>
      <c r="N49" s="519"/>
      <c r="O49" s="519"/>
      <c r="P49" s="2285">
        <v>1</v>
      </c>
      <c r="Q49" s="1340"/>
      <c r="R49" s="365"/>
      <c r="S49" s="1051"/>
      <c r="T49" s="1392"/>
      <c r="U49" s="1393"/>
      <c r="V49" s="2325"/>
      <c r="W49" s="2325"/>
      <c r="X49" s="2325"/>
      <c r="Y49" s="2325"/>
      <c r="Z49" s="2325"/>
      <c r="AA49" s="2326"/>
      <c r="AB49" s="2324"/>
      <c r="AC49" s="2325"/>
      <c r="AD49" s="2325"/>
      <c r="AE49" s="2325"/>
      <c r="AF49" s="2325"/>
      <c r="AG49" s="2325"/>
      <c r="AH49" s="2325"/>
      <c r="AI49" s="2325"/>
      <c r="AJ49" s="2325"/>
      <c r="AK49" s="2325"/>
      <c r="AL49" s="2325"/>
      <c r="AM49" s="2325"/>
      <c r="AN49" s="2325"/>
      <c r="AO49" s="2325"/>
      <c r="AP49" s="2325"/>
      <c r="AQ49" s="2325"/>
      <c r="AR49" s="2325"/>
      <c r="AS49" s="2325"/>
      <c r="AT49" s="2326"/>
      <c r="AU49" s="1394"/>
      <c r="AW49" s="509"/>
      <c r="AX49" s="509" t="str">
        <f>IF(T49="","",T49)</f>
        <v/>
      </c>
      <c r="AY49" s="509"/>
      <c r="AZ49" s="509"/>
      <c r="BA49" s="520">
        <v>1</v>
      </c>
    </row>
    <row s="1651" customFormat="1" customHeight="1" ht="1.05">
      <c r="A50" s="1352" t="s">
        <v>215</v>
      </c>
      <c r="B50" s="1352" t="s">
        <v>216</v>
      </c>
      <c r="C50" s="1352" t="s">
        <v>217</v>
      </c>
      <c r="D50" s="1352" t="s">
        <v>218</v>
      </c>
      <c r="E50" s="2287"/>
      <c r="F50" s="2287"/>
      <c r="G50" s="2287"/>
      <c r="H50" s="2287"/>
      <c r="I50" s="2314"/>
      <c r="J50" s="2284" t="str">
        <f>S48&amp;".1"</f>
        <v>....1</v>
      </c>
      <c r="K50" s="1352"/>
      <c r="L50" s="1355"/>
      <c r="M50" s="519"/>
      <c r="N50" s="519"/>
      <c r="O50" s="519"/>
      <c r="P50" s="2285"/>
      <c r="Q50" s="2285">
        <v>1</v>
      </c>
      <c r="R50" s="366"/>
      <c r="S50" s="1051"/>
      <c r="T50" s="1408"/>
      <c r="U50" s="1393"/>
      <c r="V50" s="2325"/>
      <c r="W50" s="2325"/>
      <c r="X50" s="2325"/>
      <c r="Y50" s="2325"/>
      <c r="Z50" s="2325"/>
      <c r="AA50" s="2326"/>
      <c r="AB50" s="2324"/>
      <c r="AC50" s="2325"/>
      <c r="AD50" s="2325"/>
      <c r="AE50" s="2325"/>
      <c r="AF50" s="2325"/>
      <c r="AG50" s="2325"/>
      <c r="AH50" s="2325"/>
      <c r="AI50" s="2325"/>
      <c r="AJ50" s="2325"/>
      <c r="AK50" s="2325"/>
      <c r="AL50" s="2325"/>
      <c r="AM50" s="2325"/>
      <c r="AN50" s="2325"/>
      <c r="AO50" s="2325"/>
      <c r="AP50" s="2325"/>
      <c r="AQ50" s="2325"/>
      <c r="AR50" s="2325"/>
      <c r="AS50" s="2325"/>
      <c r="AT50" s="2326"/>
      <c r="AU50" s="1394"/>
      <c r="AW50" s="509"/>
      <c r="AX50" s="509" t="str">
        <f>IF(T50="","",T50)</f>
        <v/>
      </c>
      <c r="AY50" s="509"/>
      <c r="AZ50" s="509"/>
      <c r="BA50" s="520">
        <v>1</v>
      </c>
    </row>
    <row customHeight="1" ht="22.049999999999997">
      <c r="A51" s="1372" t="s">
        <v>215</v>
      </c>
      <c r="B51" s="1372" t="s">
        <v>216</v>
      </c>
      <c r="C51" s="1372" t="s">
        <v>217</v>
      </c>
      <c r="D51" s="1372" t="s">
        <v>218</v>
      </c>
      <c r="E51" s="2287"/>
      <c r="F51" s="2287"/>
      <c r="G51" s="2287"/>
      <c r="H51" s="2287"/>
      <c r="I51" s="2314"/>
      <c r="J51" s="2314"/>
      <c r="K51" s="2284" t="str">
        <f>S48&amp;".1"</f>
        <v>....1</v>
      </c>
      <c r="L51" s="1373"/>
      <c r="P51" s="2285"/>
      <c r="Q51" s="2285"/>
      <c r="R51" s="366">
        <v>1</v>
      </c>
      <c r="S51" s="2369" t="str">
        <f>$K51</f>
        <v>....1</v>
      </c>
      <c r="T51" s="2372"/>
      <c r="U51" s="309"/>
      <c r="V51" s="760"/>
      <c r="W51" s="1266"/>
      <c r="X51" s="1742"/>
      <c r="Y51" s="1468" t="s">
        <v>63</v>
      </c>
      <c r="Z51" s="1742"/>
      <c r="AA51" s="1468" t="s">
        <v>63</v>
      </c>
      <c r="AB51" s="2135" t="s">
        <v>19</v>
      </c>
      <c r="AC51" s="2354"/>
      <c r="AD51" s="2233">
        <v>1</v>
      </c>
      <c r="AE51" s="2376" t="s">
        <v>22</v>
      </c>
      <c r="AF51" s="2135" t="s">
        <v>19</v>
      </c>
      <c r="AG51" s="2354"/>
      <c r="AH51" s="2233">
        <v>1</v>
      </c>
      <c r="AI51" s="2376" t="s">
        <v>22</v>
      </c>
      <c r="AJ51" s="2135" t="s">
        <v>19</v>
      </c>
      <c r="AK51" s="320"/>
      <c r="AL51" s="1346">
        <v>1</v>
      </c>
      <c r="AM51" s="1411"/>
      <c r="AN51" s="760"/>
      <c r="AO51" s="1266"/>
      <c r="AP51" s="1742"/>
      <c r="AQ51" s="1468" t="s">
        <v>63</v>
      </c>
      <c r="AR51" s="1742"/>
      <c r="AS51" s="1468" t="s">
        <v>63</v>
      </c>
      <c r="AT51" s="1357"/>
      <c r="AU51" s="2281" t="s">
        <v>491</v>
      </c>
      <c r="AV51" s="520">
        <f>STRCHECKDATE(V54:AT54)</f>
      </c>
      <c r="AW51" s="509"/>
      <c r="AX51" s="509" t="str">
        <f>IF(T51="","",T51)</f>
        <v/>
      </c>
      <c r="AY51" s="509"/>
      <c r="AZ51" s="509"/>
      <c r="BA51" s="1164">
        <v>21</v>
      </c>
    </row>
    <row customHeight="1" ht="11.549999999999999">
      <c r="A52" s="1372" t="s">
        <v>215</v>
      </c>
      <c r="B52" s="1372"/>
      <c r="C52" s="1372"/>
      <c r="D52" s="1372"/>
      <c r="E52" s="2287"/>
      <c r="F52" s="2287"/>
      <c r="G52" s="2287"/>
      <c r="H52" s="2287"/>
      <c r="I52" s="2314"/>
      <c r="J52" s="2314"/>
      <c r="K52" s="2284"/>
      <c r="L52" s="1373"/>
      <c r="P52" s="2285"/>
      <c r="Q52" s="2285"/>
      <c r="R52" s="366"/>
      <c r="S52" s="2370"/>
      <c r="T52" s="2373"/>
      <c r="U52" s="309"/>
      <c r="V52" s="1402"/>
      <c r="W52" s="1505"/>
      <c r="X52" s="1402"/>
      <c r="Y52" s="1402"/>
      <c r="Z52" s="1402"/>
      <c r="AA52" s="1402"/>
      <c r="AB52" s="2135"/>
      <c r="AC52" s="2354"/>
      <c r="AD52" s="2233"/>
      <c r="AE52" s="2376"/>
      <c r="AF52" s="2135"/>
      <c r="AG52" s="2354"/>
      <c r="AH52" s="2233"/>
      <c r="AI52" s="2376"/>
      <c r="AJ52" s="2135"/>
      <c r="AK52" s="325"/>
      <c r="AL52" s="425"/>
      <c r="AM52" s="424" t="s">
        <v>476</v>
      </c>
      <c r="AN52" s="1402"/>
      <c r="AO52" s="1505"/>
      <c r="AP52" s="1402"/>
      <c r="AQ52" s="1402"/>
      <c r="AR52" s="1402"/>
      <c r="AS52" s="1402"/>
      <c r="AT52" s="1399"/>
      <c r="AU52" s="2282"/>
      <c r="AW52" s="509"/>
      <c r="AX52" s="509"/>
      <c r="AY52" s="509"/>
      <c r="AZ52" s="509"/>
      <c r="BA52" s="1164">
        <v>11</v>
      </c>
    </row>
    <row customHeight="1" ht="11.549999999999999">
      <c r="A53" s="1372" t="s">
        <v>215</v>
      </c>
      <c r="B53" s="1372"/>
      <c r="C53" s="1372"/>
      <c r="D53" s="1372"/>
      <c r="E53" s="2287"/>
      <c r="F53" s="2287"/>
      <c r="G53" s="2287"/>
      <c r="H53" s="2287"/>
      <c r="I53" s="2314"/>
      <c r="J53" s="2314"/>
      <c r="K53" s="2284"/>
      <c r="L53" s="1373"/>
      <c r="P53" s="2285"/>
      <c r="Q53" s="2285"/>
      <c r="R53" s="366"/>
      <c r="S53" s="2370"/>
      <c r="T53" s="2373"/>
      <c r="U53" s="309"/>
      <c r="V53" s="1402"/>
      <c r="W53" s="1505"/>
      <c r="X53" s="1402"/>
      <c r="Y53" s="1402"/>
      <c r="Z53" s="1402"/>
      <c r="AA53" s="1402"/>
      <c r="AB53" s="2135"/>
      <c r="AC53" s="2354"/>
      <c r="AD53" s="2233"/>
      <c r="AE53" s="2376"/>
      <c r="AF53" s="2135"/>
      <c r="AG53" s="303"/>
      <c r="AH53" s="424"/>
      <c r="AI53" s="424" t="s">
        <v>477</v>
      </c>
      <c r="AJ53" s="1402"/>
      <c r="AK53" s="1402"/>
      <c r="AL53" s="1402"/>
      <c r="AM53" s="1402"/>
      <c r="AN53" s="1402"/>
      <c r="AO53" s="1505"/>
      <c r="AP53" s="1402"/>
      <c r="AQ53" s="1402"/>
      <c r="AR53" s="1402"/>
      <c r="AS53" s="1402"/>
      <c r="AT53" s="1399"/>
      <c r="AU53" s="2282"/>
      <c r="AW53" s="509"/>
      <c r="AX53" s="509"/>
      <c r="AY53" s="509"/>
      <c r="AZ53" s="509"/>
      <c r="BA53" s="1164">
        <v>11</v>
      </c>
    </row>
    <row customHeight="1" ht="11.549999999999999">
      <c r="A54" s="1372" t="s">
        <v>215</v>
      </c>
      <c r="B54" s="1372" t="s">
        <v>216</v>
      </c>
      <c r="C54" s="1372" t="s">
        <v>217</v>
      </c>
      <c r="D54" s="1372" t="s">
        <v>218</v>
      </c>
      <c r="E54" s="2287"/>
      <c r="F54" s="2287"/>
      <c r="G54" s="2287"/>
      <c r="H54" s="2287"/>
      <c r="I54" s="2314"/>
      <c r="J54" s="2314"/>
      <c r="K54" s="2284"/>
      <c r="L54" s="1373"/>
      <c r="P54" s="2285"/>
      <c r="Q54" s="2285"/>
      <c r="R54" s="366"/>
      <c r="S54" s="2371"/>
      <c r="T54" s="2374"/>
      <c r="U54" s="309"/>
      <c r="V54" s="1402"/>
      <c r="W54" s="1403" t="str">
        <f>X51&amp;"-"&amp;Z51</f>
        <v>-</v>
      </c>
      <c r="X54" s="1402"/>
      <c r="Y54" s="1402"/>
      <c r="Z54" s="1402"/>
      <c r="AA54" s="1402"/>
      <c r="AB54" s="2135"/>
      <c r="AC54" s="321"/>
      <c r="AD54" s="323"/>
      <c r="AE54" s="424" t="s">
        <v>478</v>
      </c>
      <c r="AF54" s="1402"/>
      <c r="AG54" s="1402"/>
      <c r="AH54" s="1402"/>
      <c r="AI54" s="1402"/>
      <c r="AJ54" s="1402"/>
      <c r="AK54" s="1402"/>
      <c r="AL54" s="1402"/>
      <c r="AM54" s="1402"/>
      <c r="AN54" s="1402"/>
      <c r="AO54" s="1403" t="str">
        <f>AP51&amp;"-"&amp;AR51</f>
        <v>-</v>
      </c>
      <c r="AP54" s="1402"/>
      <c r="AQ54" s="1402"/>
      <c r="AR54" s="1402"/>
      <c r="AS54" s="1402"/>
      <c r="AT54" s="1358"/>
      <c r="AU54" s="2282"/>
      <c r="AW54" s="509"/>
      <c r="AX54" s="509" t="str">
        <f>IF(T54="","",T54)</f>
        <v/>
      </c>
      <c r="AY54" s="509"/>
      <c r="AZ54" s="509"/>
      <c r="BA54" s="1164">
        <v>11</v>
      </c>
    </row>
    <row customHeight="1" ht="11.549999999999999">
      <c r="A55" s="1372" t="s">
        <v>215</v>
      </c>
      <c r="B55" s="1372" t="s">
        <v>216</v>
      </c>
      <c r="C55" s="1372" t="s">
        <v>217</v>
      </c>
      <c r="D55" s="1372" t="s">
        <v>218</v>
      </c>
      <c r="E55" s="2287"/>
      <c r="F55" s="2287"/>
      <c r="G55" s="2287"/>
      <c r="H55" s="2287"/>
      <c r="I55" s="2314"/>
      <c r="J55" s="2284"/>
      <c r="K55" s="1372"/>
      <c r="L55" s="1373"/>
      <c r="P55" s="2285"/>
      <c r="Q55" s="2285"/>
      <c r="R55" s="365"/>
      <c r="S55" s="1287"/>
      <c r="T55" s="296" t="s">
        <v>479</v>
      </c>
      <c r="U55" s="376"/>
      <c r="V55" s="376"/>
      <c r="W55" s="376"/>
      <c r="X55" s="376"/>
      <c r="Y55" s="376"/>
      <c r="Z55" s="376"/>
      <c r="AA55" s="333"/>
      <c r="AB55" s="1514"/>
      <c r="AC55" s="376"/>
      <c r="AD55" s="376"/>
      <c r="AE55" s="376"/>
      <c r="AF55" s="376"/>
      <c r="AG55" s="376"/>
      <c r="AH55" s="376"/>
      <c r="AI55" s="376"/>
      <c r="AJ55" s="376"/>
      <c r="AK55" s="376"/>
      <c r="AL55" s="376"/>
      <c r="AM55" s="376"/>
      <c r="AN55" s="376"/>
      <c r="AO55" s="376"/>
      <c r="AP55" s="376"/>
      <c r="AQ55" s="376"/>
      <c r="AR55" s="376"/>
      <c r="AS55" s="376"/>
      <c r="AT55" s="333"/>
      <c r="AU55" s="2283"/>
      <c r="AW55" s="509"/>
      <c r="AX55" s="509" t="str">
        <f>IF(T55="","",T55)</f>
        <v>Добавить строку</v>
      </c>
      <c r="AY55" s="509"/>
      <c r="AZ55" s="509"/>
      <c r="BA55" s="1164">
        <v>11</v>
      </c>
    </row>
    <row s="1651" customFormat="1" customHeight="1" ht="1.05">
      <c r="A56" s="1352" t="s">
        <v>215</v>
      </c>
      <c r="B56" s="1352" t="s">
        <v>216</v>
      </c>
      <c r="C56" s="1352" t="s">
        <v>217</v>
      </c>
      <c r="D56" s="1352" t="s">
        <v>218</v>
      </c>
      <c r="E56" s="2287"/>
      <c r="F56" s="2287"/>
      <c r="G56" s="2287"/>
      <c r="H56" s="2287"/>
      <c r="I56" s="2284"/>
      <c r="J56" s="1352"/>
      <c r="K56" s="1352"/>
      <c r="L56" s="1355"/>
      <c r="M56" s="519"/>
      <c r="N56" s="519"/>
      <c r="O56" s="519"/>
      <c r="P56" s="2285"/>
      <c r="Q56" s="1340"/>
      <c r="R56" s="365"/>
      <c r="S56" s="1395"/>
      <c r="T56" s="1396" t="s">
        <v>427</v>
      </c>
      <c r="U56" s="1397"/>
      <c r="V56" s="1397"/>
      <c r="W56" s="1397"/>
      <c r="X56" s="1397"/>
      <c r="Y56" s="1397"/>
      <c r="Z56" s="1397"/>
      <c r="AA56" s="1397"/>
      <c r="AB56" s="1397"/>
      <c r="AC56" s="1397"/>
      <c r="AD56" s="1397"/>
      <c r="AE56" s="1397"/>
      <c r="AF56" s="1397"/>
      <c r="AG56" s="1397"/>
      <c r="AH56" s="1397"/>
      <c r="AI56" s="1397"/>
      <c r="AJ56" s="1397"/>
      <c r="AK56" s="1397"/>
      <c r="AL56" s="1397"/>
      <c r="AM56" s="1397"/>
      <c r="AN56" s="1397"/>
      <c r="AO56" s="1397"/>
      <c r="AP56" s="1397"/>
      <c r="AQ56" s="1397"/>
      <c r="AR56" s="1397"/>
      <c r="AS56" s="1397"/>
      <c r="AT56" s="1397"/>
      <c r="AU56" s="1398"/>
      <c r="AW56" s="509"/>
      <c r="AX56" s="509" t="str">
        <f>IF(T56="","",T56)</f>
        <v>Добавить группу потребителей</v>
      </c>
      <c r="AY56" s="509"/>
      <c r="AZ56" s="509"/>
      <c r="BA56" s="520">
        <v>1</v>
      </c>
    </row>
    <row s="1650" customFormat="1" customHeight="1" ht="1.05">
      <c r="A57" s="1352" t="s">
        <v>215</v>
      </c>
      <c r="B57" s="1352" t="s">
        <v>216</v>
      </c>
      <c r="C57" s="1352" t="s">
        <v>217</v>
      </c>
      <c r="D57" s="1352" t="s">
        <v>218</v>
      </c>
      <c r="E57" s="2287"/>
      <c r="F57" s="2287"/>
      <c r="G57" s="2287"/>
      <c r="H57" s="2286"/>
      <c r="I57" s="1352"/>
      <c r="J57" s="1352"/>
      <c r="K57" s="1352"/>
      <c r="L57" s="1355"/>
      <c r="M57" s="1324"/>
      <c r="N57" s="1324"/>
      <c r="O57" s="527"/>
      <c r="P57" s="389"/>
      <c r="Q57" s="1353"/>
      <c r="R57" s="1409"/>
      <c r="S57" s="1395"/>
      <c r="T57" s="1396"/>
      <c r="U57" s="1397"/>
      <c r="V57" s="1397"/>
      <c r="W57" s="1397"/>
      <c r="X57" s="1397"/>
      <c r="Y57" s="1397"/>
      <c r="Z57" s="1397"/>
      <c r="AA57" s="1397"/>
      <c r="AB57" s="1397"/>
      <c r="AC57" s="1397"/>
      <c r="AD57" s="1397"/>
      <c r="AE57" s="1397"/>
      <c r="AF57" s="1397"/>
      <c r="AG57" s="1397"/>
      <c r="AH57" s="1397"/>
      <c r="AI57" s="1397"/>
      <c r="AJ57" s="1397"/>
      <c r="AK57" s="1397"/>
      <c r="AL57" s="1397"/>
      <c r="AM57" s="1397"/>
      <c r="AN57" s="1397"/>
      <c r="AO57" s="1397"/>
      <c r="AP57" s="1397"/>
      <c r="AQ57" s="1397"/>
      <c r="AR57" s="1397"/>
      <c r="AS57" s="1397"/>
      <c r="AT57" s="1397"/>
      <c r="AU57" s="1398"/>
      <c r="AV57" s="520"/>
      <c r="AW57" s="509"/>
      <c r="AX57" s="509" t="str">
        <f>IF(T57="","",T57)</f>
        <v/>
      </c>
      <c r="AY57" s="509"/>
      <c r="AZ57" s="509"/>
      <c r="BA57" s="505">
        <v>1</v>
      </c>
    </row>
    <row s="1651" customFormat="1" customHeight="1" ht="1.05">
      <c r="A58" s="1352" t="s">
        <v>215</v>
      </c>
      <c r="B58" s="1352" t="s">
        <v>216</v>
      </c>
      <c r="C58" s="1352" t="s">
        <v>217</v>
      </c>
      <c r="D58" s="1323"/>
      <c r="E58" s="2287"/>
      <c r="F58" s="2287"/>
      <c r="G58" s="2286"/>
      <c r="H58" s="1323"/>
      <c r="I58" s="1323"/>
      <c r="J58" s="1323"/>
      <c r="K58" s="1323"/>
      <c r="L58" s="1348"/>
      <c r="M58" s="1324"/>
      <c r="N58" s="1324"/>
      <c r="P58" s="1325"/>
      <c r="Q58" s="1326"/>
      <c r="R58" s="1325"/>
      <c r="S58" s="1331"/>
      <c r="T58" s="1334" t="s">
        <v>429</v>
      </c>
      <c r="U58" s="1333"/>
      <c r="V58" s="1333"/>
      <c r="W58" s="1333"/>
      <c r="X58" s="1333"/>
      <c r="Y58" s="1333"/>
      <c r="Z58" s="1333"/>
      <c r="AA58" s="1333"/>
      <c r="AB58" s="1333"/>
      <c r="AC58" s="1333"/>
      <c r="AD58" s="1333"/>
      <c r="AE58" s="1333"/>
      <c r="AF58" s="1333"/>
      <c r="AG58" s="1333"/>
      <c r="AH58" s="1333"/>
      <c r="AI58" s="1333"/>
      <c r="AJ58" s="1333"/>
      <c r="AK58" s="1333"/>
      <c r="AL58" s="1333"/>
      <c r="AM58" s="1333"/>
      <c r="AN58" s="1333"/>
      <c r="AO58" s="1333"/>
      <c r="AP58" s="1333"/>
      <c r="AQ58" s="1333"/>
      <c r="AR58" s="1333"/>
      <c r="AS58" s="1333"/>
      <c r="AT58" s="1333"/>
      <c r="AU58" s="1333"/>
      <c r="AW58" s="798"/>
      <c r="AX58" s="798" t="str">
        <f>IF(T58="","",T58)</f>
        <v>Добавить источник для дифференциации</v>
      </c>
      <c r="AY58" s="798"/>
      <c r="AZ58" s="798"/>
      <c r="BA58" s="527">
        <v>1</v>
      </c>
    </row>
    <row s="1651" customFormat="1" customHeight="1" ht="1.05">
      <c r="A59" s="1352" t="s">
        <v>215</v>
      </c>
      <c r="B59" s="1352" t="s">
        <v>216</v>
      </c>
      <c r="C59" s="1323"/>
      <c r="D59" s="1323"/>
      <c r="E59" s="2287"/>
      <c r="F59" s="2286"/>
      <c r="G59" s="1323"/>
      <c r="H59" s="1323"/>
      <c r="I59" s="1323"/>
      <c r="J59" s="1323"/>
      <c r="K59" s="1323"/>
      <c r="L59" s="1348"/>
      <c r="M59" s="1330"/>
      <c r="N59" s="1330"/>
      <c r="P59" s="1325"/>
      <c r="Q59" s="1326"/>
      <c r="R59" s="1325"/>
      <c r="S59" s="1331"/>
      <c r="T59" s="1334" t="s">
        <v>430</v>
      </c>
      <c r="U59" s="1333"/>
      <c r="V59" s="1333"/>
      <c r="W59" s="1333"/>
      <c r="X59" s="1333"/>
      <c r="Y59" s="1333"/>
      <c r="Z59" s="1333"/>
      <c r="AA59" s="1333"/>
      <c r="AB59" s="1333"/>
      <c r="AC59" s="1333"/>
      <c r="AD59" s="1333"/>
      <c r="AE59" s="1333"/>
      <c r="AF59" s="1333"/>
      <c r="AG59" s="1333"/>
      <c r="AH59" s="1333"/>
      <c r="AI59" s="1333"/>
      <c r="AJ59" s="1333"/>
      <c r="AK59" s="1333"/>
      <c r="AL59" s="1333"/>
      <c r="AM59" s="1333"/>
      <c r="AN59" s="1333"/>
      <c r="AO59" s="1333"/>
      <c r="AP59" s="1333"/>
      <c r="AQ59" s="1333"/>
      <c r="AR59" s="1333"/>
      <c r="AS59" s="1333"/>
      <c r="AT59" s="1333"/>
      <c r="AU59" s="1333"/>
      <c r="AW59" s="798"/>
      <c r="AX59" s="798" t="str">
        <f>IF(T59="","",T59)</f>
        <v>Добавить централизованную систему для дифференциации</v>
      </c>
      <c r="AY59" s="798"/>
      <c r="AZ59" s="798"/>
      <c r="BA59" s="527">
        <v>1</v>
      </c>
    </row>
    <row s="1651" customFormat="1" customHeight="1" ht="1.05">
      <c r="A60" s="1352" t="s">
        <v>215</v>
      </c>
      <c r="B60" s="1352"/>
      <c r="C60" s="1352"/>
      <c r="D60" s="1352"/>
      <c r="E60" s="2287"/>
      <c r="F60" s="1352"/>
      <c r="G60" s="1352"/>
      <c r="H60" s="1352"/>
      <c r="I60" s="1352"/>
      <c r="J60" s="1352"/>
      <c r="K60" s="1352"/>
      <c r="L60" s="1355"/>
      <c r="M60" s="1330"/>
      <c r="N60" s="1330"/>
      <c r="O60" s="527"/>
      <c r="P60" s="389"/>
      <c r="Q60" s="1353"/>
      <c r="R60" s="389"/>
      <c r="S60" s="1331"/>
      <c r="T60" s="1334" t="s">
        <v>431</v>
      </c>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W60" s="509"/>
      <c r="AX60" s="509" t="str">
        <f>IF(T60="","",T60)</f>
        <v>Добавить территорию для дифференциации</v>
      </c>
      <c r="AY60" s="509"/>
      <c r="AZ60" s="509"/>
      <c r="BA60" s="520">
        <v>1</v>
      </c>
    </row>
    <row s="1651" customFormat="1" customHeight="1" ht="1.05">
      <c r="A61" s="1352" t="s">
        <v>215</v>
      </c>
      <c r="B61" s="1352"/>
      <c r="C61" s="1352"/>
      <c r="D61" s="1352"/>
      <c r="E61" s="2286"/>
      <c r="F61" s="1352"/>
      <c r="G61" s="1352"/>
      <c r="H61" s="1352"/>
      <c r="I61" s="1352"/>
      <c r="J61" s="1352"/>
      <c r="K61" s="1352"/>
      <c r="L61" s="1355"/>
      <c r="M61" s="1330"/>
      <c r="N61" s="1330"/>
      <c r="O61" s="527"/>
      <c r="P61" s="389"/>
      <c r="Q61" s="1353"/>
      <c r="R61" s="389"/>
      <c r="S61" s="1331"/>
      <c r="T61" s="1334" t="s">
        <v>431</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W61" s="509"/>
      <c r="AX61" s="509" t="str">
        <f>IF(T61="","",T61)</f>
        <v>Добавить территорию для дифференциации</v>
      </c>
      <c r="AY61" s="509"/>
      <c r="AZ61" s="509"/>
      <c r="BA61" s="520">
        <v>1</v>
      </c>
    </row>
    <row s="1651" customFormat="1" customHeight="1" ht="1.05">
      <c r="A62" s="1323"/>
      <c r="B62" s="1323"/>
      <c r="C62" s="1323"/>
      <c r="D62" s="1323"/>
      <c r="E62" s="1352"/>
      <c r="F62" s="1323"/>
      <c r="G62" s="1323"/>
      <c r="H62" s="1323"/>
      <c r="I62" s="1323"/>
      <c r="J62" s="1323"/>
      <c r="K62" s="1323"/>
      <c r="L62" s="1348"/>
      <c r="M62" s="1330"/>
      <c r="N62" s="1330"/>
      <c r="P62" s="1325"/>
      <c r="Q62" s="1326"/>
      <c r="R62" s="1325"/>
      <c r="S62" s="1331"/>
      <c r="T62" s="1334" t="s">
        <v>459</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W62" s="798"/>
      <c r="AX62" s="798" t="str">
        <f>IF(T62="","",T62)</f>
        <v>Добавить наименование тарифа</v>
      </c>
      <c r="AY62" s="798"/>
      <c r="AZ62" s="798"/>
      <c r="BA62" s="527">
        <v>1</v>
      </c>
    </row>
    <row customHeight="1" ht="11.549999999999999">
      <c r="M63" s="1169"/>
      <c r="N63" s="1169"/>
      <c r="O63" s="546"/>
      <c r="P63" s="1169"/>
      <c r="Q63" s="1169"/>
      <c r="R63" s="1164"/>
      <c r="S63" s="1164"/>
      <c r="AV63" s="1164"/>
      <c r="AW63" s="1164"/>
      <c r="AX63" s="1164"/>
      <c r="AY63" s="1164"/>
      <c r="AZ63" s="1164"/>
      <c r="BA63" s="1164">
        <v>11</v>
      </c>
    </row>
    <row customHeight="1" ht="19.95">
      <c r="O64" s="546"/>
      <c r="S64" s="1262"/>
      <c r="T64" s="2313"/>
      <c r="U64" s="2313"/>
      <c r="V64" s="2313"/>
      <c r="W64" s="2313"/>
      <c r="X64" s="2313"/>
      <c r="Y64" s="2313"/>
      <c r="Z64" s="2313"/>
      <c r="AA64" s="2313"/>
      <c r="AB64" s="2313"/>
      <c r="AC64" s="2313"/>
      <c r="AD64" s="2313"/>
      <c r="AE64" s="2313"/>
      <c r="AF64" s="2313"/>
      <c r="AG64" s="2313"/>
      <c r="AH64" s="2313"/>
      <c r="AI64" s="2313"/>
      <c r="AJ64" s="2313"/>
      <c r="AK64" s="2313"/>
      <c r="AL64" s="2313"/>
      <c r="AM64" s="2313"/>
      <c r="AN64" s="2313"/>
      <c r="AO64" s="2313"/>
      <c r="AP64" s="2313"/>
      <c r="AQ64" s="2313"/>
      <c r="AR64" s="2313"/>
      <c r="AS64" s="2313"/>
      <c r="AT64" s="2313"/>
      <c r="AU64" s="2313"/>
      <c r="BA64" s="1164">
        <v>19</v>
      </c>
    </row>
    <row customHeight="1" ht="21">
      <c r="O65" s="546"/>
      <c r="T65" s="2313"/>
      <c r="U65" s="2313"/>
      <c r="V65" s="2313"/>
      <c r="W65" s="2313"/>
      <c r="X65" s="2313"/>
      <c r="Y65" s="2313"/>
      <c r="Z65" s="2313"/>
      <c r="AA65" s="2313"/>
      <c r="AB65" s="2313"/>
      <c r="AC65" s="2313"/>
      <c r="AD65" s="2313"/>
      <c r="AE65" s="2313"/>
      <c r="AF65" s="2313"/>
      <c r="AG65" s="2313"/>
      <c r="AH65" s="2313"/>
      <c r="AI65" s="2313"/>
      <c r="AJ65" s="2313"/>
      <c r="AK65" s="2313"/>
      <c r="AL65" s="2313"/>
      <c r="AM65" s="2313"/>
      <c r="AN65" s="2313"/>
      <c r="AO65" s="2313"/>
      <c r="AP65" s="2313"/>
      <c r="AQ65" s="2313"/>
      <c r="AR65" s="2313"/>
      <c r="AS65" s="2313"/>
      <c r="AT65" s="2313"/>
      <c r="AU65" s="2313"/>
      <c r="BA65" s="1164">
        <v>20</v>
      </c>
    </row>
    <row customHeight="1" ht="14.699999999999998">
      <c r="O66" s="546"/>
      <c r="T66" s="1342"/>
      <c r="U66" s="1342"/>
      <c r="V66" s="1342"/>
      <c r="W66" s="1342"/>
      <c r="X66" s="1342"/>
      <c r="Y66" s="1342"/>
      <c r="Z66" s="1342"/>
      <c r="AA66" s="1342"/>
      <c r="AB66" s="1342"/>
      <c r="AC66" s="1342"/>
      <c r="AD66" s="1342"/>
      <c r="AE66" s="1342"/>
      <c r="AF66" s="1342"/>
      <c r="AG66" s="1342"/>
      <c r="AH66" s="1342"/>
      <c r="AI66" s="1342"/>
      <c r="AJ66" s="1342"/>
      <c r="AK66" s="1342"/>
      <c r="AL66" s="1342"/>
      <c r="AM66" s="1342"/>
      <c r="AN66" s="1342"/>
      <c r="AO66" s="1342"/>
      <c r="AP66" s="1342"/>
      <c r="AQ66" s="1342"/>
      <c r="AR66" s="1342"/>
      <c r="AS66" s="1342"/>
      <c r="AT66" s="1342"/>
      <c r="AU66" s="1342"/>
      <c r="BA66" s="1164">
        <v>14</v>
      </c>
    </row>
    <row customHeight="1" ht="19.95">
      <c r="O67" s="546"/>
      <c r="T67" s="2313"/>
      <c r="U67" s="2313"/>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R67" s="2313"/>
      <c r="AS67" s="2313"/>
      <c r="AT67" s="2313"/>
      <c r="AU67" s="2313"/>
      <c r="BA67" s="1164">
        <v>19</v>
      </c>
    </row>
    <row customHeight="1" ht="16.8">
      <c r="O68" s="546"/>
      <c r="T68" s="2313"/>
      <c r="U68" s="2313"/>
      <c r="V68" s="2313"/>
      <c r="W68" s="2313"/>
      <c r="X68" s="2313"/>
      <c r="Y68" s="2313"/>
      <c r="Z68" s="2313"/>
      <c r="AA68" s="2313"/>
      <c r="AB68" s="2313"/>
      <c r="AC68" s="2313"/>
      <c r="AD68" s="2313"/>
      <c r="AE68" s="2313"/>
      <c r="AF68" s="2313"/>
      <c r="AG68" s="2313"/>
      <c r="AH68" s="2313"/>
      <c r="AI68" s="2313"/>
      <c r="AJ68" s="2313"/>
      <c r="AK68" s="2313"/>
      <c r="AL68" s="2313"/>
      <c r="AM68" s="2313"/>
      <c r="AN68" s="2313"/>
      <c r="AO68" s="2313"/>
      <c r="AP68" s="2313"/>
      <c r="AQ68" s="2313"/>
      <c r="AR68" s="2313"/>
      <c r="AS68" s="2313"/>
      <c r="AT68" s="2313"/>
      <c r="AU68" s="2313"/>
      <c r="BA68" s="1164">
        <v>16</v>
      </c>
    </row>
    <row customHeight="1" ht="14.699999999999998">
      <c r="O69" s="546"/>
      <c r="BA69" s="1164">
        <v>14</v>
      </c>
    </row>
    <row customHeight="1" ht="22.5" hidden="1">
      <c r="A70" s="1169" t="s">
        <v>83</v>
      </c>
      <c r="B70" s="1169">
        <v>0</v>
      </c>
      <c r="C70" s="1169">
        <v>0</v>
      </c>
      <c r="D70" s="1169">
        <v>0</v>
      </c>
      <c r="E70" s="1169">
        <v>0</v>
      </c>
      <c r="F70" s="1169">
        <v>0</v>
      </c>
      <c r="G70" s="1169">
        <v>0</v>
      </c>
      <c r="H70" s="1169">
        <v>0</v>
      </c>
      <c r="I70" s="1169">
        <v>0</v>
      </c>
      <c r="J70" s="1169">
        <v>0</v>
      </c>
      <c r="K70" s="1169">
        <v>0</v>
      </c>
      <c r="L70" s="1338">
        <v>0</v>
      </c>
      <c r="M70" s="1371">
        <v>0</v>
      </c>
      <c r="N70" s="1371">
        <v>0</v>
      </c>
      <c r="O70" s="1371">
        <v>0</v>
      </c>
      <c r="P70" s="1371">
        <v>3</v>
      </c>
      <c r="Q70" s="1380">
        <v>3</v>
      </c>
      <c r="R70" s="353">
        <v>3</v>
      </c>
      <c r="S70" s="590">
        <v>12</v>
      </c>
      <c r="T70" s="1164">
        <v>31</v>
      </c>
      <c r="U70" s="1164">
        <v>0</v>
      </c>
      <c r="V70" s="1164">
        <v>0</v>
      </c>
      <c r="W70" s="1164">
        <v>0</v>
      </c>
      <c r="X70" s="1164">
        <v>0</v>
      </c>
      <c r="Y70" s="1164">
        <v>0</v>
      </c>
      <c r="Z70" s="1164">
        <v>0</v>
      </c>
      <c r="AA70" s="1164">
        <v>0</v>
      </c>
      <c r="AB70" s="1164">
        <v>5</v>
      </c>
      <c r="AC70" s="1164">
        <v>3</v>
      </c>
      <c r="AD70" s="1164">
        <v>3</v>
      </c>
      <c r="AE70" s="1164">
        <v>24</v>
      </c>
      <c r="AF70" s="1164">
        <v>3</v>
      </c>
      <c r="AG70" s="1164">
        <v>3</v>
      </c>
      <c r="AH70" s="1164">
        <v>3</v>
      </c>
      <c r="AI70" s="1164">
        <v>24</v>
      </c>
      <c r="AJ70" s="1164">
        <v>3</v>
      </c>
      <c r="AK70" s="1164">
        <v>3</v>
      </c>
      <c r="AL70" s="1164">
        <v>3</v>
      </c>
      <c r="AM70" s="1164">
        <v>18</v>
      </c>
      <c r="AN70" s="1164">
        <v>21</v>
      </c>
      <c r="AO70" s="1164">
        <v>21</v>
      </c>
      <c r="AP70" s="1164">
        <v>11</v>
      </c>
      <c r="AQ70" s="1164">
        <v>3</v>
      </c>
      <c r="AR70" s="1164">
        <v>11</v>
      </c>
      <c r="AS70" s="1164">
        <v>8</v>
      </c>
      <c r="AT70" s="1164">
        <v>4</v>
      </c>
      <c r="AU70" s="1164">
        <v>115</v>
      </c>
      <c r="AV70" s="520">
        <v>10</v>
      </c>
      <c r="AW70" s="520">
        <v>10</v>
      </c>
      <c r="AX70" s="520">
        <v>10</v>
      </c>
      <c r="AY70" s="520">
        <v>10</v>
      </c>
      <c r="AZ70" s="520">
        <v>10</v>
      </c>
      <c r="BA70" s="1164">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90BDF2-391B-6B87-DBF9-0.ABE126CD}"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44" width="10.140625" hidden="1" customWidth="1"/>
    <col min="4" max="4" style="1644" width="11.8515625" hidden="1" customWidth="1"/>
    <col min="5" max="11" style="1644" width="10.140625" hidden="1" customWidth="1"/>
    <col min="12" max="12" style="2153" width="10.140625" hidden="1" customWidth="1"/>
    <col min="13" max="15" style="2425" width="10.140625" hidden="1" customWidth="1"/>
    <col min="16" max="16" style="1784" width="3.00390625" customWidth="1"/>
    <col min="17" max="17" style="1380" width="3.00390625" customWidth="1"/>
    <col min="18" max="18" style="353" width="3.00390625" customWidth="1"/>
    <col min="19" max="19" style="2435" width="12.00390625" customWidth="1"/>
    <col min="20" max="20" style="1644" width="31.00390625" customWidth="1"/>
    <col min="21" max="21" style="1644" width="0.140625" customWidth="1"/>
    <col min="22" max="23" style="1644" width="21.7109375" hidden="1" customWidth="1"/>
    <col min="24" max="24" style="1644" width="11.7109375" hidden="1" customWidth="1"/>
    <col min="25" max="25" style="1644" width="3.7109375" hidden="1" customWidth="1"/>
    <col min="26" max="26" style="1644" width="11.7109375" hidden="1" customWidth="1"/>
    <col min="27" max="27" style="1644" width="8.57421875" hidden="1" customWidth="1"/>
    <col min="28" max="28" style="1644" width="27.00390625" customWidth="1"/>
    <col min="29" max="29" style="1644" width="24.57421875" customWidth="1"/>
    <col min="30" max="31" style="1644" width="21.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0.75" hidden="1">
      <c r="AQ1" s="1640" t="s">
        <v>14</v>
      </c>
    </row>
    <row customHeight="1" ht="21" hidden="1">
      <c r="A2" s="1276"/>
      <c r="B2" s="1276"/>
      <c r="C2" s="1276"/>
      <c r="D2" s="1276"/>
      <c r="E2" s="2317">
        <v>1</v>
      </c>
      <c r="F2" s="1276"/>
      <c r="G2" s="1276"/>
      <c r="H2" s="1276"/>
      <c r="I2" s="1276"/>
      <c r="J2" s="1276"/>
      <c r="K2" s="1276"/>
      <c r="L2" s="1319"/>
      <c r="M2" s="1619"/>
      <c r="N2" s="1619"/>
      <c r="O2" s="1619"/>
      <c r="P2" s="1418"/>
      <c r="Q2" s="882"/>
      <c r="R2" s="364"/>
      <c r="S2" s="1964">
        <f>INDEX(PT_DIFFERENTIATION_NUM_NTAR,MATCH(A2,PT_DIFFERENTIATION_NTAR_ID,0))</f>
      </c>
      <c r="T2" s="1534" t="s">
        <v>140</v>
      </c>
      <c r="U2" s="309"/>
      <c r="V2" s="2271"/>
      <c r="W2" s="2271"/>
      <c r="X2" s="2271"/>
      <c r="Y2" s="2271"/>
      <c r="Z2" s="2271"/>
      <c r="AA2" s="2272"/>
      <c r="AB2" s="1958"/>
      <c r="AC2" s="2271">
        <f>INDEX(PT_DIFFERENTIATION_NTAR,MATCH(A2,PT_DIFFERENTIATION_NTAR_ID,0))</f>
      </c>
      <c r="AD2" s="2271"/>
      <c r="AE2" s="2271"/>
      <c r="AF2" s="2271"/>
      <c r="AG2" s="2271"/>
      <c r="AH2" s="2271"/>
      <c r="AI2" s="2271"/>
      <c r="AJ2" s="2272"/>
      <c r="AK2" s="1267" t="s">
        <v>411</v>
      </c>
      <c r="AM2" s="1633"/>
      <c r="AN2" s="1633" t="str">
        <f>IF(T2="","",T2)</f>
        <v>Наименование тарифа</v>
      </c>
      <c r="AO2" s="1633"/>
      <c r="AP2" s="1633"/>
      <c r="AQ2" s="1640">
        <v>0</v>
      </c>
    </row>
    <row customHeight="1" ht="21" hidden="1">
      <c r="A3" s="1276"/>
      <c r="B3" s="1276"/>
      <c r="C3" s="1276"/>
      <c r="D3" s="1276"/>
      <c r="E3" s="2318"/>
      <c r="F3" s="2317">
        <v>1</v>
      </c>
      <c r="G3" s="1276"/>
      <c r="H3" s="1276"/>
      <c r="I3" s="1276"/>
      <c r="J3" s="1276"/>
      <c r="K3" s="1276"/>
      <c r="L3" s="1319"/>
      <c r="M3" s="1619"/>
      <c r="N3" s="1619"/>
      <c r="O3" s="1619"/>
      <c r="P3" s="1975"/>
      <c r="Q3" s="1420"/>
      <c r="R3" s="362"/>
      <c r="S3" s="1964">
        <f>INDEX(PT_DIFFERENTIATION_NUM_TER,MATCH(B3,PT_DIFFERENTIATION_TER_ID,0))</f>
      </c>
      <c r="T3" s="1531" t="s">
        <v>412</v>
      </c>
      <c r="U3" s="309"/>
      <c r="V3" s="2271"/>
      <c r="W3" s="2271"/>
      <c r="X3" s="2271"/>
      <c r="Y3" s="2271"/>
      <c r="Z3" s="2271"/>
      <c r="AA3" s="2272"/>
      <c r="AB3" s="1958"/>
      <c r="AC3" s="2271">
        <f>INDEX(PT_DIFFERENTIATION_TER,MATCH(B3,PT_DIFFERENTIATION_TER_ID,0))</f>
      </c>
      <c r="AD3" s="2271"/>
      <c r="AE3" s="2271"/>
      <c r="AF3" s="2271"/>
      <c r="AG3" s="2271"/>
      <c r="AH3" s="2271"/>
      <c r="AI3" s="2271"/>
      <c r="AJ3" s="2272"/>
      <c r="AK3" s="1267" t="s">
        <v>413</v>
      </c>
      <c r="AM3" s="1633"/>
      <c r="AN3" s="1633" t="str">
        <f>IF(T3="","",T3)</f>
        <v>Территория действия тарифа</v>
      </c>
      <c r="AO3" s="1633"/>
      <c r="AP3" s="1633"/>
      <c r="AQ3" s="1640">
        <v>0</v>
      </c>
    </row>
    <row customHeight="1" ht="22.5" hidden="1">
      <c r="A4" s="1276"/>
      <c r="B4" s="1276"/>
      <c r="C4" s="1276"/>
      <c r="D4" s="1276"/>
      <c r="E4" s="2318"/>
      <c r="F4" s="2318"/>
      <c r="G4" s="2317">
        <v>1</v>
      </c>
      <c r="H4" s="1276"/>
      <c r="I4" s="1276"/>
      <c r="J4" s="1276"/>
      <c r="K4" s="1276"/>
      <c r="L4" s="1319"/>
      <c r="M4" s="1619"/>
      <c r="N4" s="1619"/>
      <c r="O4" s="1619"/>
      <c r="P4" s="1421"/>
      <c r="Q4" s="1420"/>
      <c r="R4" s="362"/>
      <c r="S4" s="1964">
        <f>INDEX(PT_DIFFERENTIATION_NUM_CS,MATCH(C4,PT_DIFFERENTIATION_CS_ID,0))</f>
      </c>
      <c r="T4" s="318" t="s">
        <v>414</v>
      </c>
      <c r="U4" s="309"/>
      <c r="V4" s="2271"/>
      <c r="W4" s="2271"/>
      <c r="X4" s="2271"/>
      <c r="Y4" s="2271"/>
      <c r="Z4" s="2271"/>
      <c r="AA4" s="2272"/>
      <c r="AB4" s="1958"/>
      <c r="AC4" s="2271">
        <f>INDEX(PT_DIFFERENTIATION_CS,MATCH(C4,PT_DIFFERENTIATION_CS_ID,0))</f>
      </c>
      <c r="AD4" s="2271"/>
      <c r="AE4" s="2271"/>
      <c r="AF4" s="2271"/>
      <c r="AG4" s="2271"/>
      <c r="AH4" s="2271"/>
      <c r="AI4" s="2271"/>
      <c r="AJ4" s="2272"/>
      <c r="AK4" s="1267" t="s">
        <v>415</v>
      </c>
      <c r="AM4" s="1633"/>
      <c r="AN4" s="1633" t="str">
        <f>IF(T4="","",T4)</f>
        <v>Наименование системы теплоснабжения </v>
      </c>
      <c r="AO4" s="1633"/>
      <c r="AP4" s="1633"/>
      <c r="AQ4" s="1640">
        <v>0</v>
      </c>
    </row>
    <row customHeight="1" ht="21" hidden="1">
      <c r="A5" s="1276"/>
      <c r="B5" s="1276"/>
      <c r="C5" s="1276"/>
      <c r="D5" s="1276"/>
      <c r="E5" s="2318"/>
      <c r="F5" s="2318"/>
      <c r="G5" s="2318"/>
      <c r="H5" s="2317">
        <v>1</v>
      </c>
      <c r="I5" s="1276"/>
      <c r="J5" s="1276"/>
      <c r="K5" s="1276"/>
      <c r="L5" s="1319"/>
      <c r="M5" s="1619"/>
      <c r="N5" s="1619"/>
      <c r="O5" s="1619"/>
      <c r="P5" s="1421"/>
      <c r="Q5" s="1420"/>
      <c r="R5" s="362"/>
      <c r="S5" s="1964">
        <f>INDEX(PT_DIFFERENTIATION_NUM_IST_TE,MATCH(D5,PT_DIFFERENTIATION_IST_TE_ID,0))</f>
      </c>
      <c r="T5" s="319" t="s">
        <v>416</v>
      </c>
      <c r="U5" s="309"/>
      <c r="V5" s="2271"/>
      <c r="W5" s="2271"/>
      <c r="X5" s="2271"/>
      <c r="Y5" s="2271"/>
      <c r="Z5" s="2271"/>
      <c r="AA5" s="2272"/>
      <c r="AB5" s="1958"/>
      <c r="AC5" s="2271">
        <f>INDEX(PT_DIFFERENTIATION_IST_TE,MATCH(D5,PT_DIFFERENTIATION_IST_TE_ID,0))</f>
      </c>
      <c r="AD5" s="2271"/>
      <c r="AE5" s="2271"/>
      <c r="AF5" s="2271"/>
      <c r="AG5" s="2271"/>
      <c r="AH5" s="2271"/>
      <c r="AI5" s="2271"/>
      <c r="AJ5" s="2272"/>
      <c r="AK5" s="1267" t="s">
        <v>417</v>
      </c>
      <c r="AM5" s="1633"/>
      <c r="AN5" s="1633" t="str">
        <f>IF(T5="","",T5)</f>
        <v>Источник тепловой энергии  </v>
      </c>
      <c r="AO5" s="1633"/>
      <c r="AP5" s="1633"/>
      <c r="AQ5" s="1640">
        <v>0</v>
      </c>
    </row>
    <row s="1651" customFormat="1" customHeight="1" ht="0.75" hidden="1">
      <c r="A6" s="1384"/>
      <c r="B6" s="1384"/>
      <c r="C6" s="1384"/>
      <c r="D6" s="1384"/>
      <c r="E6" s="2318"/>
      <c r="F6" s="2318"/>
      <c r="G6" s="2318"/>
      <c r="H6" s="2318"/>
      <c r="I6" s="2155">
        <f>S5&amp;".1"</f>
      </c>
      <c r="J6" s="1384"/>
      <c r="K6" s="1384"/>
      <c r="L6" s="1390" t="s">
        <v>418</v>
      </c>
      <c r="M6" s="1255"/>
      <c r="N6" s="1255"/>
      <c r="O6" s="1255"/>
      <c r="P6" s="2285">
        <v>1</v>
      </c>
      <c r="Q6" s="1960"/>
      <c r="R6" s="365"/>
      <c r="S6" s="1051"/>
      <c r="T6" s="1392"/>
      <c r="U6" s="1393"/>
      <c r="V6" s="2325"/>
      <c r="W6" s="2325"/>
      <c r="X6" s="2325"/>
      <c r="Y6" s="2325"/>
      <c r="Z6" s="2325"/>
      <c r="AA6" s="2326"/>
      <c r="AB6" s="1966"/>
      <c r="AC6" s="2325"/>
      <c r="AD6" s="2325"/>
      <c r="AE6" s="2325"/>
      <c r="AF6" s="2325"/>
      <c r="AG6" s="2325"/>
      <c r="AH6" s="2325"/>
      <c r="AI6" s="2325"/>
      <c r="AJ6" s="2326"/>
      <c r="AK6" s="1394"/>
      <c r="AM6" s="1633"/>
      <c r="AN6" s="1633" t="str">
        <f>IF(T6="","",T6)</f>
        <v/>
      </c>
      <c r="AO6" s="1633"/>
      <c r="AP6" s="1633"/>
      <c r="AQ6" s="1645">
        <v>0</v>
      </c>
    </row>
    <row s="1651" customFormat="1" customHeight="1" ht="0.75" hidden="1">
      <c r="A7" s="1384"/>
      <c r="B7" s="1384"/>
      <c r="C7" s="1384"/>
      <c r="D7" s="1384"/>
      <c r="E7" s="2318"/>
      <c r="F7" s="2318"/>
      <c r="G7" s="2318"/>
      <c r="H7" s="2318"/>
      <c r="I7" s="2129"/>
      <c r="J7" s="2155">
        <f>S5&amp;".1"</f>
      </c>
      <c r="K7" s="1384"/>
      <c r="L7" s="1390"/>
      <c r="M7" s="1255"/>
      <c r="N7" s="1255"/>
      <c r="O7" s="1255"/>
      <c r="P7" s="2285"/>
      <c r="Q7" s="2285">
        <v>1</v>
      </c>
      <c r="R7" s="366"/>
      <c r="S7" s="1051"/>
      <c r="T7" s="1408"/>
      <c r="U7" s="1393"/>
      <c r="V7" s="2325"/>
      <c r="W7" s="2325"/>
      <c r="X7" s="2325"/>
      <c r="Y7" s="2325"/>
      <c r="Z7" s="2325"/>
      <c r="AA7" s="2326"/>
      <c r="AB7" s="1966"/>
      <c r="AC7" s="2325"/>
      <c r="AD7" s="2325"/>
      <c r="AE7" s="2325"/>
      <c r="AF7" s="2325"/>
      <c r="AG7" s="2325"/>
      <c r="AH7" s="2325"/>
      <c r="AI7" s="2325"/>
      <c r="AJ7" s="2326"/>
      <c r="AK7" s="1394"/>
      <c r="AM7" s="1633"/>
      <c r="AN7" s="1633" t="str">
        <f>IF(T7="","",T7)</f>
        <v/>
      </c>
      <c r="AO7" s="1633"/>
      <c r="AP7" s="1633"/>
      <c r="AQ7" s="1645">
        <v>0</v>
      </c>
    </row>
    <row customHeight="1" ht="21" hidden="1">
      <c r="A8" s="1276"/>
      <c r="B8" s="1276"/>
      <c r="C8" s="1276"/>
      <c r="D8" s="1276"/>
      <c r="E8" s="2318"/>
      <c r="F8" s="2318"/>
      <c r="G8" s="2318"/>
      <c r="H8" s="2318"/>
      <c r="I8" s="2129"/>
      <c r="J8" s="2129"/>
      <c r="K8" s="1997">
        <f>S5&amp;".1"</f>
      </c>
      <c r="L8" s="1319"/>
      <c r="P8" s="2285"/>
      <c r="Q8" s="2285"/>
      <c r="R8" s="2001">
        <v>1</v>
      </c>
      <c r="S8" s="1999">
        <f>$K8</f>
      </c>
      <c r="T8" s="2000"/>
      <c r="U8" s="309"/>
      <c r="V8" s="760"/>
      <c r="W8" s="1266"/>
      <c r="X8" s="1998"/>
      <c r="Y8" s="1996" t="s">
        <v>63</v>
      </c>
      <c r="Z8" s="1998"/>
      <c r="AA8" s="1996" t="s">
        <v>63</v>
      </c>
      <c r="AB8" s="2002"/>
      <c r="AC8" s="2003" t="s">
        <v>22</v>
      </c>
      <c r="AD8" s="760"/>
      <c r="AE8" s="1266"/>
      <c r="AF8" s="1961"/>
      <c r="AG8" s="1948" t="s">
        <v>63</v>
      </c>
      <c r="AH8" s="1961"/>
      <c r="AI8" s="1948" t="s">
        <v>63</v>
      </c>
      <c r="AJ8" s="1357"/>
      <c r="AK8" s="2281" t="s">
        <v>475</v>
      </c>
      <c r="AL8" s="1645">
        <f>STRCHECKDATE(#REF!)</f>
      </c>
      <c r="AM8" s="1633"/>
      <c r="AN8" s="1633" t="str">
        <f>IF(T8="","",T8)</f>
        <v/>
      </c>
      <c r="AO8" s="1633"/>
      <c r="AP8" s="1633"/>
      <c r="AQ8" s="1640">
        <v>0</v>
      </c>
    </row>
    <row customHeight="1" ht="11.25" hidden="1">
      <c r="A9" s="1276"/>
      <c r="B9" s="1276"/>
      <c r="C9" s="1276"/>
      <c r="D9" s="1276"/>
      <c r="E9" s="2318"/>
      <c r="F9" s="2318"/>
      <c r="G9" s="2318"/>
      <c r="H9" s="2318"/>
      <c r="I9" s="2129"/>
      <c r="J9" s="2155"/>
      <c r="K9" s="1276"/>
      <c r="L9" s="1319"/>
      <c r="P9" s="2285"/>
      <c r="Q9" s="2285"/>
      <c r="R9" s="365"/>
      <c r="S9" s="1287"/>
      <c r="T9" s="296" t="s">
        <v>479</v>
      </c>
      <c r="U9" s="609"/>
      <c r="V9" s="609"/>
      <c r="W9" s="609"/>
      <c r="X9" s="609"/>
      <c r="Y9" s="609"/>
      <c r="Z9" s="609"/>
      <c r="AA9" s="609"/>
      <c r="AB9" s="609"/>
      <c r="AC9" s="609"/>
      <c r="AD9" s="609"/>
      <c r="AE9" s="609"/>
      <c r="AF9" s="609"/>
      <c r="AG9" s="609"/>
      <c r="AH9" s="609"/>
      <c r="AI9" s="609"/>
      <c r="AJ9" s="333"/>
      <c r="AK9" s="2283"/>
      <c r="AM9" s="1633"/>
      <c r="AN9" s="1633" t="str">
        <f>IF(T9="","",T9)</f>
        <v>Добавить строку</v>
      </c>
      <c r="AO9" s="1633"/>
      <c r="AP9" s="1633"/>
      <c r="AQ9" s="1640">
        <v>0</v>
      </c>
    </row>
    <row s="1651" customFormat="1" customHeight="1" ht="0.75" hidden="1">
      <c r="A10" s="1384"/>
      <c r="B10" s="1384"/>
      <c r="C10" s="1384"/>
      <c r="D10" s="1384"/>
      <c r="E10" s="2318"/>
      <c r="F10" s="2318"/>
      <c r="G10" s="2318"/>
      <c r="H10" s="2318"/>
      <c r="I10" s="2155"/>
      <c r="J10" s="1384"/>
      <c r="K10" s="1384"/>
      <c r="L10" s="1390"/>
      <c r="M10" s="1255"/>
      <c r="N10" s="1255"/>
      <c r="O10" s="1255"/>
      <c r="P10" s="2285"/>
      <c r="Q10" s="1960"/>
      <c r="R10" s="365"/>
      <c r="S10" s="1395"/>
      <c r="T10" s="1396"/>
      <c r="U10" s="1397"/>
      <c r="V10" s="1397"/>
      <c r="W10" s="1397"/>
      <c r="X10" s="1397"/>
      <c r="Y10" s="1397"/>
      <c r="Z10" s="1397"/>
      <c r="AA10" s="1397"/>
      <c r="AB10" s="1397"/>
      <c r="AC10" s="1397"/>
      <c r="AD10" s="1397"/>
      <c r="AE10" s="1397"/>
      <c r="AF10" s="1397"/>
      <c r="AG10" s="1397"/>
      <c r="AH10" s="1397"/>
      <c r="AI10" s="1397"/>
      <c r="AJ10" s="1397"/>
      <c r="AK10" s="1398"/>
      <c r="AM10" s="1633"/>
      <c r="AN10" s="1633" t="str">
        <f>IF(T10="","",T10)</f>
        <v/>
      </c>
      <c r="AO10" s="1633"/>
      <c r="AP10" s="1633"/>
      <c r="AQ10" s="1645">
        <v>0</v>
      </c>
    </row>
    <row s="1651" customFormat="1" customHeight="1" ht="0.75" hidden="1">
      <c r="A11" s="1384"/>
      <c r="B11" s="1384"/>
      <c r="C11" s="1384"/>
      <c r="D11" s="1384"/>
      <c r="E11" s="2318"/>
      <c r="F11" s="2318"/>
      <c r="G11" s="2318"/>
      <c r="H11" s="2317"/>
      <c r="I11" s="1384"/>
      <c r="J11" s="1384"/>
      <c r="K11" s="1384"/>
      <c r="L11" s="1390"/>
      <c r="M11" s="1387"/>
      <c r="N11" s="1387"/>
      <c r="O11" s="360"/>
      <c r="P11" s="389"/>
      <c r="Q11" s="1353"/>
      <c r="R11" s="1410"/>
      <c r="S11" s="1395"/>
      <c r="T11" s="1396"/>
      <c r="U11" s="1397"/>
      <c r="V11" s="1397"/>
      <c r="W11" s="1397"/>
      <c r="X11" s="1397"/>
      <c r="Y11" s="1397"/>
      <c r="Z11" s="1397"/>
      <c r="AA11" s="1397"/>
      <c r="AB11" s="1397"/>
      <c r="AC11" s="1397"/>
      <c r="AD11" s="1397"/>
      <c r="AE11" s="1397"/>
      <c r="AF11" s="1397"/>
      <c r="AG11" s="1397"/>
      <c r="AH11" s="1397"/>
      <c r="AI11" s="1397"/>
      <c r="AJ11" s="1397"/>
      <c r="AK11" s="1398"/>
      <c r="AM11" s="1633"/>
      <c r="AN11" s="1633" t="str">
        <f>IF(T11="","",T11)</f>
        <v/>
      </c>
      <c r="AO11" s="1633"/>
      <c r="AP11" s="1633"/>
      <c r="AQ11" s="1645">
        <v>0</v>
      </c>
    </row>
    <row s="1651" customFormat="1" customHeight="1" ht="0.75" hidden="1">
      <c r="A12" s="1384"/>
      <c r="B12" s="1384"/>
      <c r="C12" s="1384"/>
      <c r="D12" s="1383"/>
      <c r="E12" s="2318"/>
      <c r="F12" s="2318"/>
      <c r="G12" s="2317"/>
      <c r="H12" s="1383"/>
      <c r="I12" s="1383"/>
      <c r="J12" s="1383"/>
      <c r="K12" s="1383"/>
      <c r="L12" s="1386"/>
      <c r="M12" s="1387"/>
      <c r="N12" s="1387"/>
      <c r="O12" s="360"/>
      <c r="P12" s="1325"/>
      <c r="Q12" s="1326"/>
      <c r="R12" s="1325"/>
      <c r="S12" s="1331"/>
      <c r="T12" s="1334" t="s">
        <v>429</v>
      </c>
      <c r="U12" s="1333"/>
      <c r="V12" s="1333"/>
      <c r="W12" s="1333"/>
      <c r="X12" s="1333"/>
      <c r="Y12" s="1333"/>
      <c r="Z12" s="1333"/>
      <c r="AA12" s="1333"/>
      <c r="AB12" s="1333"/>
      <c r="AC12" s="1333"/>
      <c r="AD12" s="1333"/>
      <c r="AE12" s="1333"/>
      <c r="AF12" s="1333"/>
      <c r="AG12" s="1333"/>
      <c r="AH12" s="1333"/>
      <c r="AI12" s="1333"/>
      <c r="AJ12" s="1333"/>
      <c r="AK12" s="1333"/>
      <c r="AM12" s="1260"/>
      <c r="AN12" s="1260" t="str">
        <f>IF(T12="","",T12)</f>
        <v>Добавить источник для дифференциации</v>
      </c>
      <c r="AO12" s="1260"/>
      <c r="AP12" s="1260"/>
      <c r="AQ12" s="1651">
        <v>0</v>
      </c>
    </row>
    <row s="1651" customFormat="1" customHeight="1" ht="0.75" hidden="1">
      <c r="A13" s="1384"/>
      <c r="B13" s="1384"/>
      <c r="C13" s="1383"/>
      <c r="D13" s="1383"/>
      <c r="E13" s="2318"/>
      <c r="F13" s="2317"/>
      <c r="G13" s="1383"/>
      <c r="H13" s="1383"/>
      <c r="I13" s="1383"/>
      <c r="J13" s="1383"/>
      <c r="K13" s="1383"/>
      <c r="L13" s="1386"/>
      <c r="M13" s="1388"/>
      <c r="N13" s="1388"/>
      <c r="O13" s="360"/>
      <c r="P13" s="1325"/>
      <c r="Q13" s="1326"/>
      <c r="R13" s="1325"/>
      <c r="S13" s="1331"/>
      <c r="T13" s="1334" t="s">
        <v>430</v>
      </c>
      <c r="U13" s="1333"/>
      <c r="V13" s="1333"/>
      <c r="W13" s="1333"/>
      <c r="X13" s="1333"/>
      <c r="Y13" s="1333"/>
      <c r="Z13" s="1333"/>
      <c r="AA13" s="1333"/>
      <c r="AB13" s="1333"/>
      <c r="AC13" s="1333"/>
      <c r="AD13" s="1333"/>
      <c r="AE13" s="1333"/>
      <c r="AF13" s="1333"/>
      <c r="AG13" s="1333"/>
      <c r="AH13" s="1333"/>
      <c r="AI13" s="1333"/>
      <c r="AJ13" s="1333"/>
      <c r="AK13" s="1333"/>
      <c r="AM13" s="1260"/>
      <c r="AN13" s="1260" t="str">
        <f>IF(T13="","",T13)</f>
        <v>Добавить централизованную систему для дифференциации</v>
      </c>
      <c r="AO13" s="1260"/>
      <c r="AP13" s="1260"/>
      <c r="AQ13" s="1651">
        <v>0</v>
      </c>
    </row>
    <row s="1651" customFormat="1" customHeight="1" ht="0.75" hidden="1">
      <c r="A14" s="1384"/>
      <c r="B14" s="1384"/>
      <c r="C14" s="1384"/>
      <c r="D14" s="1384"/>
      <c r="E14" s="2317"/>
      <c r="F14" s="1384"/>
      <c r="G14" s="1384"/>
      <c r="H14" s="1384"/>
      <c r="I14" s="1384"/>
      <c r="J14" s="1384"/>
      <c r="K14" s="1384"/>
      <c r="L14" s="1390"/>
      <c r="M14" s="1388"/>
      <c r="N14" s="1388"/>
      <c r="O14" s="360"/>
      <c r="P14" s="389"/>
      <c r="Q14" s="1353"/>
      <c r="R14" s="389"/>
      <c r="S14" s="1331"/>
      <c r="T14" s="1334" t="s">
        <v>431</v>
      </c>
      <c r="U14" s="1333"/>
      <c r="V14" s="1333"/>
      <c r="W14" s="1333"/>
      <c r="X14" s="1333"/>
      <c r="Y14" s="1333"/>
      <c r="Z14" s="1333"/>
      <c r="AA14" s="1333"/>
      <c r="AB14" s="1333"/>
      <c r="AC14" s="1333"/>
      <c r="AD14" s="1333"/>
      <c r="AE14" s="1333"/>
      <c r="AF14" s="1333"/>
      <c r="AG14" s="1333"/>
      <c r="AH14" s="1333"/>
      <c r="AI14" s="1333"/>
      <c r="AJ14" s="1333"/>
      <c r="AK14" s="1333"/>
      <c r="AM14" s="1633"/>
      <c r="AN14" s="1633" t="str">
        <f>IF(T14="","",T14)</f>
        <v>Добавить территорию для дифференциации</v>
      </c>
      <c r="AO14" s="1633"/>
      <c r="AP14" s="1633"/>
      <c r="AQ14" s="1645">
        <v>0</v>
      </c>
    </row>
    <row customHeight="1" ht="14.25" hidden="1">
      <c r="AQ15" s="1640">
        <v>0</v>
      </c>
    </row>
    <row customHeight="1" ht="14.25" hidden="1">
      <c r="AC16" s="1511"/>
      <c r="AD16" s="1412"/>
      <c r="AE16" s="1413"/>
      <c r="AF16" s="1744"/>
      <c r="AG16" s="1972" t="s">
        <v>63</v>
      </c>
      <c r="AH16" s="1744"/>
      <c r="AI16" s="1972" t="s">
        <v>63</v>
      </c>
      <c r="AQ16" s="1640">
        <v>0</v>
      </c>
    </row>
    <row customHeight="1" ht="14.25" hidden="1">
      <c r="AL17" s="1650"/>
      <c r="AM17" s="1650"/>
      <c r="AN17" s="1650"/>
      <c r="AO17" s="1650"/>
      <c r="AP17" s="1650"/>
      <c r="AQ17" s="1640">
        <v>0</v>
      </c>
    </row>
    <row customHeight="1" ht="14.25" hidden="1">
      <c r="O18" s="1354" t="s">
        <v>432</v>
      </c>
      <c r="X18" s="1354"/>
      <c r="Z18" s="1354"/>
      <c r="AF18" s="1354"/>
      <c r="AH18" s="1354"/>
      <c r="AL18" s="1650"/>
      <c r="AM18" s="1650"/>
      <c r="AN18" s="1650"/>
      <c r="AO18" s="1650"/>
      <c r="AP18" s="1650"/>
      <c r="AQ18" s="1640">
        <v>0</v>
      </c>
    </row>
    <row customHeight="1" ht="14.25" hidden="1">
      <c r="AL19" s="1650"/>
      <c r="AM19" s="1650"/>
      <c r="AN19" s="1650"/>
      <c r="AO19" s="1650"/>
      <c r="AP19" s="1650"/>
      <c r="AQ19" s="1640">
        <v>0</v>
      </c>
    </row>
    <row s="1518" customFormat="1" customHeight="1" ht="14.25" hidden="1">
      <c r="A20" s="1977"/>
      <c r="B20" s="1977"/>
      <c r="C20" s="1977"/>
      <c r="D20" s="1977"/>
      <c r="E20" s="1977"/>
      <c r="F20" s="1977"/>
      <c r="G20" s="1977"/>
      <c r="H20" s="1977"/>
      <c r="I20" s="1977"/>
      <c r="J20" s="1977"/>
      <c r="K20" s="1977"/>
      <c r="L20" s="1977"/>
      <c r="M20" s="1978"/>
      <c r="N20" s="1978"/>
      <c r="O20" s="1979" t="s">
        <v>433</v>
      </c>
      <c r="P20" s="1517"/>
      <c r="Q20" s="1519"/>
      <c r="R20" s="1519"/>
      <c r="Y20" s="1516" t="s">
        <v>435</v>
      </c>
      <c r="AA20" s="1516" t="s">
        <v>436</v>
      </c>
      <c r="AC20" s="1516" t="s">
        <v>481</v>
      </c>
      <c r="AG20" s="1516" t="s">
        <v>435</v>
      </c>
      <c r="AI20" s="1516" t="s">
        <v>436</v>
      </c>
      <c r="AL20" s="1520"/>
      <c r="AM20" s="1520"/>
      <c r="AN20" s="1520"/>
      <c r="AO20" s="1520"/>
      <c r="AP20" s="1520"/>
      <c r="AQ20" s="1516">
        <v>0</v>
      </c>
    </row>
    <row customHeight="1" ht="14.25" hidden="1">
      <c r="O21" s="1319"/>
      <c r="AL21" s="1650"/>
      <c r="AM21" s="1650"/>
      <c r="AN21" s="1650"/>
      <c r="AO21" s="1650"/>
      <c r="AP21" s="1650"/>
      <c r="AQ21" s="1640">
        <v>0</v>
      </c>
    </row>
    <row customHeight="1" ht="14.25" hidden="1">
      <c r="O22" s="1319"/>
      <c r="AL22" s="1650"/>
      <c r="AM22" s="1650"/>
      <c r="AN22" s="1650"/>
      <c r="AO22" s="1650"/>
      <c r="AP22" s="1650"/>
      <c r="AQ22" s="1640">
        <v>0</v>
      </c>
    </row>
    <row customHeight="1" ht="14.699999999999998">
      <c r="Q23" s="300"/>
      <c r="R23" s="385"/>
      <c r="S23" s="1284"/>
      <c r="T23" s="466"/>
      <c r="U23" s="466"/>
      <c r="V23" s="1644"/>
      <c r="W23" s="1644"/>
      <c r="X23" s="1644"/>
      <c r="Y23" s="1644"/>
      <c r="Z23" s="1644"/>
      <c r="AA23" s="1644"/>
      <c r="AB23" s="1644"/>
      <c r="AC23" s="1644"/>
      <c r="AD23" s="1644"/>
      <c r="AE23" s="1644"/>
      <c r="AF23" s="1644"/>
      <c r="AG23" s="1644"/>
      <c r="AH23" s="1644"/>
      <c r="AI23" s="1644"/>
      <c r="AQ23" s="1640">
        <v>14</v>
      </c>
    </row>
    <row customHeight="1" ht="39.75">
      <c r="Q24" s="300"/>
      <c r="R24" s="385"/>
      <c r="S24" s="227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76"/>
      <c r="U24" s="2276"/>
      <c r="V24" s="2276"/>
      <c r="W24" s="2276"/>
      <c r="X24" s="2276"/>
      <c r="Y24" s="2276"/>
      <c r="Z24" s="2276"/>
      <c r="AA24" s="2276"/>
      <c r="AB24" s="2276"/>
      <c r="AC24" s="2276"/>
      <c r="AD24" s="2276"/>
      <c r="AE24" s="2276"/>
      <c r="AF24" s="2276"/>
      <c r="AG24" s="2276"/>
      <c r="AH24" s="2276"/>
      <c r="AI24" s="1252"/>
      <c r="AQ24" s="1640">
        <v>38</v>
      </c>
    </row>
    <row customHeight="1" ht="14.699999999999998">
      <c r="Q25" s="300"/>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640">
        <v>14</v>
      </c>
    </row>
    <row customHeight="1" ht="14.25" hidden="1">
      <c r="Q26" s="300"/>
      <c r="R26" s="385"/>
      <c r="S26" s="1284"/>
      <c r="T26" s="466"/>
      <c r="U26" s="466"/>
      <c r="V26" s="331"/>
      <c r="W26" s="331"/>
      <c r="X26" s="331"/>
      <c r="Y26" s="331"/>
      <c r="Z26" s="331"/>
      <c r="AA26" s="331"/>
      <c r="AB26" s="331"/>
      <c r="AC26" s="331"/>
      <c r="AD26" s="331"/>
      <c r="AE26" s="331"/>
      <c r="AF26" s="331"/>
      <c r="AG26" s="331"/>
      <c r="AH26" s="331"/>
      <c r="AI26" s="331"/>
      <c r="AJ26" s="1644"/>
      <c r="AQ26" s="1640">
        <v>0</v>
      </c>
    </row>
    <row s="1859" customFormat="1" customHeight="1" ht="25.5" hidden="1">
      <c r="A27" s="1257"/>
      <c r="B27" s="1257"/>
      <c r="C27" s="1257"/>
      <c r="D27" s="1257"/>
      <c r="E27" s="1257"/>
      <c r="F27" s="1257"/>
      <c r="G27" s="1257"/>
      <c r="H27" s="1257"/>
      <c r="I27" s="1257"/>
      <c r="J27" s="1257"/>
      <c r="K27" s="1257"/>
      <c r="L27" s="1389"/>
      <c r="M27" s="1257"/>
      <c r="N27" s="1257"/>
      <c r="O27" s="1257"/>
      <c r="P27" s="1377"/>
      <c r="Q27" s="1377"/>
      <c r="S27" s="263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639"/>
      <c r="U27" s="1381"/>
      <c r="V27" s="2279" t="str">
        <f>IF(TITLE_NAME_OR_PR_CHANGE="",IF(TITLE_NAME_OR_PR="","",TITLE_NAME_OR_PR),TITLE_NAME_OR_PR_CHANGE)</f>
        <v/>
      </c>
      <c r="W27" s="2279"/>
      <c r="X27" s="2279"/>
      <c r="Y27" s="2279"/>
      <c r="Z27" s="2279"/>
      <c r="AA27" s="1644"/>
      <c r="AB27" s="1644"/>
      <c r="AC27" s="2279"/>
      <c r="AD27" s="2279"/>
      <c r="AE27" s="2279"/>
      <c r="AF27" s="2279"/>
      <c r="AG27" s="2279"/>
      <c r="AH27" s="2279"/>
      <c r="AI27" s="1644"/>
      <c r="AJ27" s="1644"/>
      <c r="AK27" s="289"/>
      <c r="AL27" s="377"/>
      <c r="AM27" s="377"/>
      <c r="AN27" s="377"/>
      <c r="AO27" s="377"/>
      <c r="AP27" s="377"/>
      <c r="AQ27" s="427">
        <v>0</v>
      </c>
    </row>
    <row s="1859" customFormat="1" customHeight="1" ht="18.75" hidden="1">
      <c r="A28" s="1257"/>
      <c r="B28" s="1257"/>
      <c r="C28" s="1257"/>
      <c r="D28" s="1257"/>
      <c r="E28" s="1257"/>
      <c r="F28" s="1257"/>
      <c r="G28" s="1257"/>
      <c r="H28" s="1257"/>
      <c r="I28" s="1257"/>
      <c r="J28" s="1257"/>
      <c r="K28" s="1257"/>
      <c r="L28" s="1389"/>
      <c r="M28" s="1257"/>
      <c r="N28" s="1257"/>
      <c r="O28" s="1257"/>
      <c r="P28" s="1377"/>
      <c r="Q28" s="1377"/>
      <c r="S28" s="2638" t="str">
        <f>"Дата документа об "&amp;IF(TITLE_DATE_PR_CHANGE="","утверждении","изменении")&amp;" тарифов"</f>
        <v>Дата документа об утверждении тарифов</v>
      </c>
      <c r="T28" s="2639"/>
      <c r="U28" s="1381"/>
      <c r="V28" s="2292" t="str">
        <f>IF(TITLE_DATE_PR_CHANGE="",IF(TITLE_DATE_PR="","",TITLE_DATE_PR),TITLE_DATE_PR_CHANGE)</f>
        <v/>
      </c>
      <c r="W28" s="2292"/>
      <c r="X28" s="2292"/>
      <c r="Y28" s="2292"/>
      <c r="Z28" s="2292"/>
      <c r="AA28" s="1644"/>
      <c r="AB28" s="1644"/>
      <c r="AC28" s="2292"/>
      <c r="AD28" s="2292"/>
      <c r="AE28" s="2292"/>
      <c r="AF28" s="2292"/>
      <c r="AG28" s="2292"/>
      <c r="AH28" s="2292"/>
      <c r="AI28" s="1644"/>
      <c r="AJ28" s="1644"/>
      <c r="AK28" s="289"/>
      <c r="AL28" s="377"/>
      <c r="AM28" s="377"/>
      <c r="AN28" s="377"/>
      <c r="AO28" s="377"/>
      <c r="AP28" s="377"/>
      <c r="AQ28" s="427">
        <v>0</v>
      </c>
    </row>
    <row s="1859" customFormat="1" customHeight="1" ht="18.75" hidden="1">
      <c r="A29" s="1257"/>
      <c r="B29" s="1257"/>
      <c r="C29" s="1257"/>
      <c r="D29" s="1257"/>
      <c r="E29" s="1257"/>
      <c r="F29" s="1257"/>
      <c r="G29" s="1257"/>
      <c r="H29" s="1257"/>
      <c r="I29" s="1257"/>
      <c r="J29" s="1257"/>
      <c r="K29" s="1257"/>
      <c r="L29" s="1389"/>
      <c r="M29" s="1257"/>
      <c r="N29" s="1257"/>
      <c r="O29" s="1257"/>
      <c r="P29" s="1377"/>
      <c r="Q29" s="1377"/>
      <c r="S29" s="2638" t="str">
        <f>"Номер документа об "&amp;IF(TITLE_DATE_PR_CHANGE="","утверждении","изменении")&amp;" тарифов"</f>
        <v>Номер документа об утверждении тарифов</v>
      </c>
      <c r="T29" s="2639"/>
      <c r="U29" s="1381"/>
      <c r="V29" s="2279" t="str">
        <f>IF(TITLE_NUMBER_PR_CHANGE="",IF(TITLE_NUMBER_PR="","",TITLE_NUMBER_PR),TITLE_NUMBER_PR_CHANGE)</f>
        <v/>
      </c>
      <c r="W29" s="2279"/>
      <c r="X29" s="2279"/>
      <c r="Y29" s="2279"/>
      <c r="Z29" s="2279"/>
      <c r="AA29" s="1644"/>
      <c r="AB29" s="1644"/>
      <c r="AC29" s="2279"/>
      <c r="AD29" s="2279"/>
      <c r="AE29" s="2279"/>
      <c r="AF29" s="2279"/>
      <c r="AG29" s="2279"/>
      <c r="AH29" s="2279"/>
      <c r="AI29" s="1644"/>
      <c r="AJ29" s="1644"/>
      <c r="AK29" s="289"/>
      <c r="AL29" s="377"/>
      <c r="AM29" s="377"/>
      <c r="AN29" s="377"/>
      <c r="AO29" s="377"/>
      <c r="AP29" s="377"/>
      <c r="AQ29" s="427">
        <v>0</v>
      </c>
    </row>
    <row s="1859" customFormat="1" customHeight="1" ht="18.75" hidden="1">
      <c r="A30" s="1257"/>
      <c r="B30" s="1257"/>
      <c r="C30" s="1257"/>
      <c r="D30" s="1257"/>
      <c r="E30" s="1257"/>
      <c r="F30" s="1257"/>
      <c r="G30" s="1257"/>
      <c r="H30" s="1257"/>
      <c r="I30" s="1257"/>
      <c r="J30" s="1257"/>
      <c r="K30" s="1257"/>
      <c r="L30" s="1389"/>
      <c r="M30" s="1257"/>
      <c r="N30" s="1257"/>
      <c r="O30" s="1257"/>
      <c r="P30" s="1377"/>
      <c r="Q30" s="1377"/>
      <c r="S30" s="2638" t="s">
        <v>43</v>
      </c>
      <c r="T30" s="2639"/>
      <c r="U30" s="1381"/>
      <c r="V30" s="2279" t="str">
        <f>IF(TITLE_IST_PUB_CHANGE="",IF(TITLE_IST_PUB="","",TITLE_IST_PUB),TITLE_IST_PUB_CHANGE)</f>
        <v/>
      </c>
      <c r="W30" s="2279"/>
      <c r="X30" s="2279"/>
      <c r="Y30" s="2279"/>
      <c r="Z30" s="2279"/>
      <c r="AA30" s="1644"/>
      <c r="AB30" s="1644"/>
      <c r="AC30" s="2279"/>
      <c r="AD30" s="2279"/>
      <c r="AE30" s="2279"/>
      <c r="AF30" s="2279"/>
      <c r="AG30" s="2279"/>
      <c r="AH30" s="2279"/>
      <c r="AI30" s="1644"/>
      <c r="AJ30" s="1644"/>
      <c r="AK30" s="289"/>
      <c r="AL30" s="377"/>
      <c r="AM30" s="377"/>
      <c r="AN30" s="377"/>
      <c r="AO30" s="377"/>
      <c r="AP30" s="377"/>
      <c r="AQ30" s="427">
        <v>0</v>
      </c>
    </row>
    <row customHeight="1" ht="14.25" hidden="1">
      <c r="Q31" s="300"/>
      <c r="R31" s="385"/>
      <c r="S31" s="1284"/>
      <c r="T31" s="466"/>
      <c r="U31" s="466"/>
      <c r="V31" s="331"/>
      <c r="W31" s="331"/>
      <c r="X31" s="331"/>
      <c r="Y31" s="331"/>
      <c r="Z31" s="331"/>
      <c r="AA31" s="331"/>
      <c r="AB31" s="331"/>
      <c r="AC31" s="331"/>
      <c r="AD31" s="331"/>
      <c r="AE31" s="331"/>
      <c r="AF31" s="331"/>
      <c r="AG31" s="331"/>
      <c r="AH31" s="331"/>
      <c r="AI31" s="331"/>
      <c r="AJ31" s="1644"/>
      <c r="AQ31" s="1640">
        <v>0</v>
      </c>
    </row>
    <row s="1859" customFormat="1" customHeight="1" ht="18.75" hidden="1">
      <c r="A32" s="1257"/>
      <c r="B32" s="1257"/>
      <c r="C32" s="1257"/>
      <c r="D32" s="1257"/>
      <c r="E32" s="1257"/>
      <c r="F32" s="1257"/>
      <c r="G32" s="1257"/>
      <c r="H32" s="1257"/>
      <c r="I32" s="1257"/>
      <c r="J32" s="1257"/>
      <c r="K32" s="1257"/>
      <c r="L32" s="1389"/>
      <c r="M32" s="1257"/>
      <c r="N32" s="1257"/>
      <c r="O32" s="1257"/>
      <c r="P32" s="1377"/>
      <c r="Q32" s="1377"/>
      <c r="S32" s="2638" t="str">
        <f>"Дата подачи заявления об "&amp;IF(TITLE_DATE_PR_CHANGE="","утверждении","изменении")&amp;" тарифов"</f>
        <v>Дата подачи заявления об утверждении тарифов</v>
      </c>
      <c r="T32" s="2639"/>
      <c r="U32" s="1381"/>
      <c r="V32" s="2292" t="str">
        <f>IF(TITLE_DATE_PR_CHANGE="",IF(TITLE_DATE_PR="","",TITLE_DATE_PR),TITLE_DATE_PR_CHANGE)</f>
        <v/>
      </c>
      <c r="W32" s="2292"/>
      <c r="X32" s="2292"/>
      <c r="Y32" s="2292"/>
      <c r="Z32" s="2292"/>
      <c r="AA32" s="1644"/>
      <c r="AB32" s="1644"/>
      <c r="AC32" s="2292"/>
      <c r="AD32" s="2292"/>
      <c r="AE32" s="2292"/>
      <c r="AF32" s="2292"/>
      <c r="AG32" s="2292"/>
      <c r="AH32" s="2292"/>
      <c r="AI32" s="1644"/>
      <c r="AJ32" s="1644"/>
      <c r="AK32" s="289"/>
      <c r="AL32" s="377"/>
      <c r="AM32" s="377"/>
      <c r="AN32" s="377"/>
      <c r="AO32" s="377"/>
      <c r="AP32" s="377"/>
      <c r="AQ32" s="427">
        <v>0</v>
      </c>
    </row>
    <row s="1859" customFormat="1" customHeight="1" ht="18" hidden="1">
      <c r="A33" s="1257"/>
      <c r="B33" s="1257"/>
      <c r="C33" s="1257"/>
      <c r="D33" s="1257"/>
      <c r="E33" s="1257"/>
      <c r="F33" s="1257"/>
      <c r="G33" s="1257"/>
      <c r="H33" s="1257"/>
      <c r="I33" s="1257"/>
      <c r="J33" s="1257"/>
      <c r="K33" s="1257"/>
      <c r="L33" s="1389"/>
      <c r="M33" s="1257"/>
      <c r="N33" s="1257"/>
      <c r="O33" s="1257"/>
      <c r="P33" s="1377"/>
      <c r="Q33" s="1377"/>
      <c r="S33" s="2638" t="str">
        <f>"Номер подачи заявления об "&amp;IF(TITLE_DATE_PR_CHANGE="","утверждении","изменении")&amp;" тарифов"</f>
        <v>Номер подачи заявления об утверждении тарифов</v>
      </c>
      <c r="T33" s="2639"/>
      <c r="U33" s="1381"/>
      <c r="V33" s="2279" t="str">
        <f>IF(TITLE_NUMBER_PR_CHANGE="",IF(TITLE_NUMBER_PR="","",TITLE_NUMBER_PR),TITLE_NUMBER_PR_CHANGE)</f>
        <v/>
      </c>
      <c r="W33" s="2279"/>
      <c r="X33" s="2279"/>
      <c r="Y33" s="2279"/>
      <c r="Z33" s="2279"/>
      <c r="AA33" s="1644"/>
      <c r="AB33" s="1644"/>
      <c r="AC33" s="2279"/>
      <c r="AD33" s="2279"/>
      <c r="AE33" s="2279"/>
      <c r="AF33" s="2279"/>
      <c r="AG33" s="2279"/>
      <c r="AH33" s="2279"/>
      <c r="AI33" s="1644"/>
      <c r="AJ33" s="1644"/>
      <c r="AK33" s="289"/>
      <c r="AL33" s="377"/>
      <c r="AM33" s="377"/>
      <c r="AN33" s="377"/>
      <c r="AO33" s="377"/>
      <c r="AP33" s="377"/>
      <c r="AQ33" s="427">
        <v>0</v>
      </c>
    </row>
    <row s="1859" customFormat="1" customHeight="1" ht="1.05">
      <c r="A34" s="1257"/>
      <c r="B34" s="1257"/>
      <c r="C34" s="1257"/>
      <c r="D34" s="1257"/>
      <c r="E34" s="1257"/>
      <c r="F34" s="1257"/>
      <c r="G34" s="1257"/>
      <c r="H34" s="1257"/>
      <c r="I34" s="1257"/>
      <c r="J34" s="1257"/>
      <c r="K34" s="1257"/>
      <c r="L34" s="1389"/>
      <c r="M34" s="1257"/>
      <c r="N34" s="1257"/>
      <c r="O34" s="1257"/>
      <c r="P34" s="1377"/>
      <c r="Q34" s="1377"/>
      <c r="S34" s="1644"/>
      <c r="T34" s="1644"/>
      <c r="U34" s="1976"/>
      <c r="V34" s="1644"/>
      <c r="W34" s="1644"/>
      <c r="X34" s="1644"/>
      <c r="Y34" s="1644"/>
      <c r="Z34" s="1644"/>
      <c r="AA34" s="1651" t="s">
        <v>438</v>
      </c>
      <c r="AB34" s="1651"/>
      <c r="AC34" s="1644"/>
      <c r="AD34" s="1644"/>
      <c r="AE34" s="1644"/>
      <c r="AF34" s="1644"/>
      <c r="AG34" s="1644"/>
      <c r="AH34" s="1644"/>
      <c r="AI34" s="1651" t="s">
        <v>438</v>
      </c>
      <c r="AL34" s="377"/>
      <c r="AM34" s="377"/>
      <c r="AN34" s="377"/>
      <c r="AO34" s="377"/>
      <c r="AP34" s="377"/>
      <c r="AQ34" s="427">
        <v>1</v>
      </c>
    </row>
    <row customHeight="1" ht="14.699999999999998">
      <c r="Q35" s="300"/>
      <c r="R35" s="385"/>
      <c r="S35" s="1284"/>
      <c r="T35" s="466"/>
      <c r="U35" s="1253"/>
      <c r="V35" s="2280"/>
      <c r="W35" s="2280"/>
      <c r="X35" s="2280"/>
      <c r="Y35" s="2280"/>
      <c r="Z35" s="2280"/>
      <c r="AA35" s="2280"/>
      <c r="AB35" s="1963"/>
      <c r="AC35" s="2280"/>
      <c r="AD35" s="2280"/>
      <c r="AE35" s="2280"/>
      <c r="AF35" s="2280"/>
      <c r="AG35" s="2280"/>
      <c r="AH35" s="2280"/>
      <c r="AI35" s="2280"/>
      <c r="AQ35" s="1640">
        <v>14</v>
      </c>
    </row>
    <row customHeight="1" ht="14.699999999999998">
      <c r="Q36" s="300"/>
      <c r="R36" s="385"/>
      <c r="S36" s="2155" t="s">
        <v>315</v>
      </c>
      <c r="T36" s="2155"/>
      <c r="U36" s="2155"/>
      <c r="V36" s="2155"/>
      <c r="W36" s="2155"/>
      <c r="X36" s="2155"/>
      <c r="Y36" s="2155"/>
      <c r="Z36" s="2155"/>
      <c r="AA36" s="2203"/>
      <c r="AB36" s="2203"/>
      <c r="AC36" s="2203"/>
      <c r="AD36" s="2155"/>
      <c r="AE36" s="2155"/>
      <c r="AF36" s="2155"/>
      <c r="AG36" s="2155"/>
      <c r="AH36" s="2155"/>
      <c r="AI36" s="2155"/>
      <c r="AJ36" s="2155"/>
      <c r="AK36" s="2155" t="s">
        <v>316</v>
      </c>
      <c r="AQ36" s="1640">
        <v>14</v>
      </c>
    </row>
    <row customHeight="1" ht="14.699999999999998">
      <c r="Q37" s="300"/>
      <c r="R37" s="385"/>
      <c r="S37" s="2301" t="s">
        <v>89</v>
      </c>
      <c r="T37" s="2237" t="s">
        <v>492</v>
      </c>
      <c r="U37" s="346"/>
      <c r="V37" s="2303"/>
      <c r="W37" s="2303"/>
      <c r="X37" s="2303"/>
      <c r="Y37" s="2303"/>
      <c r="Z37" s="2303"/>
      <c r="AA37" s="2237" t="s">
        <v>441</v>
      </c>
      <c r="AB37" s="2236" t="s">
        <v>493</v>
      </c>
      <c r="AC37" s="2236" t="s">
        <v>485</v>
      </c>
      <c r="AD37" s="2319" t="s">
        <v>440</v>
      </c>
      <c r="AE37" s="2319"/>
      <c r="AF37" s="2303"/>
      <c r="AG37" s="2303"/>
      <c r="AH37" s="2304"/>
      <c r="AI37" s="2305" t="s">
        <v>441</v>
      </c>
      <c r="AJ37" s="2308" t="s">
        <v>443</v>
      </c>
      <c r="AK37" s="2155"/>
      <c r="AQ37" s="1640">
        <v>14</v>
      </c>
    </row>
    <row customHeight="1" ht="35.699999999999996">
      <c r="Q38" s="300"/>
      <c r="R38" s="385"/>
      <c r="S38" s="2301"/>
      <c r="T38" s="2237"/>
      <c r="U38" s="1040"/>
      <c r="V38" s="2131" t="s">
        <v>488</v>
      </c>
      <c r="W38" s="2155"/>
      <c r="X38" s="2322" t="s">
        <v>447</v>
      </c>
      <c r="Y38" s="2341"/>
      <c r="Z38" s="2341"/>
      <c r="AA38" s="2237"/>
      <c r="AB38" s="2236"/>
      <c r="AC38" s="2236"/>
      <c r="AD38" s="2131" t="s">
        <v>488</v>
      </c>
      <c r="AE38" s="2155"/>
      <c r="AF38" s="2341" t="s">
        <v>447</v>
      </c>
      <c r="AG38" s="2341"/>
      <c r="AH38" s="2342"/>
      <c r="AI38" s="2306"/>
      <c r="AJ38" s="2309"/>
      <c r="AK38" s="2155"/>
      <c r="AQ38" s="1640">
        <v>34</v>
      </c>
    </row>
    <row customHeight="1" ht="14.699999999999998">
      <c r="Q39" s="300"/>
      <c r="R39" s="385"/>
      <c r="S39" s="2301"/>
      <c r="T39" s="2237"/>
      <c r="U39" s="1040"/>
      <c r="V39" s="2368" t="str">
        <f>IF($AD$39&lt;&gt;"",$AD$39,"")</f>
        <v/>
      </c>
      <c r="W39" s="2368"/>
      <c r="X39" s="2323"/>
      <c r="Y39" s="2343"/>
      <c r="Z39" s="2343"/>
      <c r="AA39" s="2237"/>
      <c r="AB39" s="2236"/>
      <c r="AC39" s="2236"/>
      <c r="AD39" s="2384"/>
      <c r="AE39" s="2367"/>
      <c r="AF39" s="2343"/>
      <c r="AG39" s="2343"/>
      <c r="AH39" s="2344"/>
      <c r="AI39" s="2306"/>
      <c r="AJ39" s="2309"/>
      <c r="AK39" s="2155"/>
      <c r="AQ39" s="1640">
        <v>14</v>
      </c>
    </row>
    <row customHeight="1" ht="14.699999999999998">
      <c r="A40" s="1275"/>
      <c r="B40" s="1275" t="s">
        <v>152</v>
      </c>
      <c r="C40" s="1275" t="s">
        <v>153</v>
      </c>
      <c r="D40" s="1275" t="s">
        <v>154</v>
      </c>
      <c r="E40" s="1319" t="s">
        <v>448</v>
      </c>
      <c r="F40" s="1319" t="s">
        <v>449</v>
      </c>
      <c r="G40" s="1319" t="s">
        <v>450</v>
      </c>
      <c r="H40" s="1319" t="s">
        <v>451</v>
      </c>
      <c r="I40" s="1319" t="s">
        <v>452</v>
      </c>
      <c r="J40" s="1319" t="s">
        <v>453</v>
      </c>
      <c r="K40" s="1319" t="s">
        <v>454</v>
      </c>
      <c r="L40" s="1319" t="s">
        <v>433</v>
      </c>
      <c r="Q40" s="300"/>
      <c r="R40" s="385"/>
      <c r="S40" s="2301"/>
      <c r="T40" s="2237"/>
      <c r="U40" s="311"/>
      <c r="V40" s="1956" t="s">
        <v>489</v>
      </c>
      <c r="W40" s="1956" t="s">
        <v>490</v>
      </c>
      <c r="X40" s="1944" t="s">
        <v>457</v>
      </c>
      <c r="Y40" s="2298" t="s">
        <v>458</v>
      </c>
      <c r="Z40" s="2348"/>
      <c r="AA40" s="2237"/>
      <c r="AB40" s="2236"/>
      <c r="AC40" s="2236"/>
      <c r="AD40" s="1974" t="s">
        <v>489</v>
      </c>
      <c r="AE40" s="1965" t="s">
        <v>490</v>
      </c>
      <c r="AF40" s="1944" t="s">
        <v>457</v>
      </c>
      <c r="AG40" s="2298" t="s">
        <v>458</v>
      </c>
      <c r="AH40" s="2299"/>
      <c r="AI40" s="2307"/>
      <c r="AJ40" s="2310"/>
      <c r="AK40" s="2155"/>
      <c r="AQ40" s="1640">
        <v>14</v>
      </c>
    </row>
    <row s="1650" customFormat="1" customHeight="1" ht="11.25" hidden="1">
      <c r="A41" s="1275"/>
      <c r="B41" s="1275"/>
      <c r="C41" s="1275"/>
      <c r="D41" s="1275"/>
      <c r="E41" s="1275"/>
      <c r="F41" s="1275"/>
      <c r="G41" s="1275"/>
      <c r="H41" s="1275"/>
      <c r="I41" s="1275"/>
      <c r="J41" s="1275"/>
      <c r="K41" s="1275"/>
      <c r="L41" s="1319"/>
      <c r="M41" s="1971"/>
      <c r="N41" s="1971"/>
      <c r="O41" s="1971"/>
      <c r="P41" s="519"/>
      <c r="Q41" s="1263"/>
      <c r="R41" s="1263">
        <v>1</v>
      </c>
      <c r="S41" s="1286" t="s">
        <v>118</v>
      </c>
      <c r="T41" s="1264" t="s">
        <v>103</v>
      </c>
      <c r="U41" s="1254" t="str">
        <f>OFFSET(U41,0,-1)</f>
        <v>2</v>
      </c>
      <c r="V41" s="1962">
        <f>OFFSET(V41,0,-1)+1</f>
        <v>3</v>
      </c>
      <c r="W41" s="1962">
        <f>OFFSET(W41,0,-1)+1</f>
        <v>4</v>
      </c>
      <c r="X41" s="1962">
        <f>OFFSET(X41,0,-1)+1</f>
        <v>5</v>
      </c>
      <c r="Y41" s="2300">
        <f>OFFSET(Y41,0,-1)+1</f>
        <v>6</v>
      </c>
      <c r="Z41" s="2300"/>
      <c r="AA41" s="1350">
        <f>OFFSET(AA41,0,-2)+1</f>
        <v>7</v>
      </c>
      <c r="AB41" s="1350"/>
      <c r="AC41" s="1350"/>
      <c r="AD41" s="1962">
        <f>OFFSET(AD41,0,-1)+1</f>
        <v>1</v>
      </c>
      <c r="AE41" s="1962">
        <f>OFFSET(AE41,0,-1)+1</f>
        <v>2</v>
      </c>
      <c r="AF41" s="1962">
        <f>OFFSET(AF41,0,-1)+1</f>
        <v>3</v>
      </c>
      <c r="AG41" s="2300">
        <f>OFFSET(AG41,0,-1)+1</f>
        <v>4</v>
      </c>
      <c r="AH41" s="2300"/>
      <c r="AI41" s="1962">
        <f>OFFSET(AI41,0,-2)+1</f>
        <v>5</v>
      </c>
      <c r="AJ41" s="1254">
        <f>OFFSET(AJ41,0,-1)</f>
        <v>5</v>
      </c>
      <c r="AK41" s="1962">
        <f>OFFSET(AK41,0,-1)+1</f>
        <v>6</v>
      </c>
      <c r="AL41" s="1645"/>
      <c r="AM41" s="1645"/>
      <c r="AN41" s="1645"/>
      <c r="AO41" s="1645"/>
      <c r="AP41" s="1645"/>
      <c r="AQ41" s="1650">
        <v>0</v>
      </c>
    </row>
    <row customHeight="1" ht="107.25">
      <c r="A42" s="1276" t="s">
        <v>221</v>
      </c>
      <c r="B42" s="1276"/>
      <c r="C42" s="1276"/>
      <c r="D42" s="1276"/>
      <c r="E42" s="2317">
        <v>1</v>
      </c>
      <c r="F42" s="1276"/>
      <c r="G42" s="1276"/>
      <c r="H42" s="1276"/>
      <c r="I42" s="1276"/>
      <c r="J42" s="1276"/>
      <c r="K42" s="1276"/>
      <c r="L42" s="1319"/>
      <c r="M42" s="1619"/>
      <c r="N42" s="1619"/>
      <c r="O42" s="1619"/>
      <c r="P42" s="1418"/>
      <c r="Q42" s="882"/>
      <c r="R42" s="364"/>
      <c r="S42" s="1964">
        <f>INDEX(PT_DIFFERENTIATION_NUM_NTAR,MATCH(A42,PT_DIFFERENTIATION_NTAR_ID,0))</f>
        <v>0</v>
      </c>
      <c r="T42" s="1534" t="s">
        <v>140</v>
      </c>
      <c r="U42" s="309"/>
      <c r="V42" s="2271"/>
      <c r="W42" s="2271"/>
      <c r="X42" s="2271"/>
      <c r="Y42" s="2271"/>
      <c r="Z42" s="2271"/>
      <c r="AA42" s="2272"/>
      <c r="AB42" s="1958"/>
      <c r="AC42" s="2271" t="str">
        <f>INDEX(PT_DIFFERENTIATION_NTAR,MATCH(A42,PT_DIFFERENTIATION_NTAR_ID,0))</f>
        <v/>
      </c>
      <c r="AD42" s="2271"/>
      <c r="AE42" s="2271"/>
      <c r="AF42" s="2271"/>
      <c r="AG42" s="2271"/>
      <c r="AH42" s="2271"/>
      <c r="AI42" s="2271"/>
      <c r="AJ42" s="2272"/>
      <c r="AK42" s="126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33"/>
      <c r="AN42" s="1633" t="str">
        <f>IF(T42="","",T42)</f>
        <v>Наименование тарифа</v>
      </c>
      <c r="AO42" s="1633"/>
      <c r="AP42" s="1633"/>
      <c r="AQ42" s="1640">
        <v>102</v>
      </c>
    </row>
    <row customHeight="1" ht="22.049999999999997">
      <c r="A43" s="1276" t="s">
        <v>221</v>
      </c>
      <c r="B43" s="1276" t="s">
        <v>222</v>
      </c>
      <c r="C43" s="1276"/>
      <c r="D43" s="1276"/>
      <c r="E43" s="2318"/>
      <c r="F43" s="2317">
        <v>1</v>
      </c>
      <c r="G43" s="1276"/>
      <c r="H43" s="1276"/>
      <c r="I43" s="1276"/>
      <c r="J43" s="1276"/>
      <c r="K43" s="1276"/>
      <c r="L43" s="1319"/>
      <c r="M43" s="1619"/>
      <c r="N43" s="1619"/>
      <c r="O43" s="1619"/>
      <c r="P43" s="1975"/>
      <c r="Q43" s="1420"/>
      <c r="R43" s="362"/>
      <c r="S43" s="1964" t="str">
        <f>INDEX(PT_DIFFERENTIATION_NUM_TER,MATCH(B43,PT_DIFFERENTIATION_TER_ID,0))</f>
        <v>.</v>
      </c>
      <c r="T43" s="1531" t="s">
        <v>412</v>
      </c>
      <c r="U43" s="309"/>
      <c r="V43" s="2271"/>
      <c r="W43" s="2271"/>
      <c r="X43" s="2271"/>
      <c r="Y43" s="2271"/>
      <c r="Z43" s="2271"/>
      <c r="AA43" s="2272"/>
      <c r="AB43" s="1958"/>
      <c r="AC43" s="2271" t="str">
        <f>INDEX(PT_DIFFERENTIATION_TER,MATCH(B43,PT_DIFFERENTIATION_TER_ID,0))</f>
        <v/>
      </c>
      <c r="AD43" s="2271"/>
      <c r="AE43" s="2271"/>
      <c r="AF43" s="2271"/>
      <c r="AG43" s="2271"/>
      <c r="AH43" s="2271"/>
      <c r="AI43" s="2271"/>
      <c r="AJ43" s="2272"/>
      <c r="AK43" s="1267" t="s">
        <v>413</v>
      </c>
      <c r="AM43" s="1633"/>
      <c r="AN43" s="1633" t="str">
        <f>IF(T43="","",T43)</f>
        <v>Территория действия тарифа</v>
      </c>
      <c r="AO43" s="1633"/>
      <c r="AP43" s="1633"/>
      <c r="AQ43" s="1640">
        <v>21</v>
      </c>
    </row>
    <row customHeight="1" ht="24">
      <c r="A44" s="1276" t="s">
        <v>221</v>
      </c>
      <c r="B44" s="1276" t="s">
        <v>222</v>
      </c>
      <c r="C44" s="1276" t="s">
        <v>223</v>
      </c>
      <c r="D44" s="1276"/>
      <c r="E44" s="2318"/>
      <c r="F44" s="2318"/>
      <c r="G44" s="2317">
        <v>1</v>
      </c>
      <c r="H44" s="1276"/>
      <c r="I44" s="1276"/>
      <c r="J44" s="1276"/>
      <c r="K44" s="1276"/>
      <c r="L44" s="1319"/>
      <c r="M44" s="1619"/>
      <c r="N44" s="1619"/>
      <c r="O44" s="1619"/>
      <c r="P44" s="1421"/>
      <c r="Q44" s="1420"/>
      <c r="R44" s="362"/>
      <c r="S44" s="1964" t="str">
        <f>INDEX(PT_DIFFERENTIATION_NUM_CS,MATCH(C44,PT_DIFFERENTIATION_CS_ID,0))</f>
        <v>..</v>
      </c>
      <c r="T44" s="318" t="s">
        <v>414</v>
      </c>
      <c r="U44" s="309"/>
      <c r="V44" s="2271"/>
      <c r="W44" s="2271"/>
      <c r="X44" s="2271"/>
      <c r="Y44" s="2271"/>
      <c r="Z44" s="2271"/>
      <c r="AA44" s="2272"/>
      <c r="AB44" s="1958"/>
      <c r="AC44" s="2271" t="str">
        <f>INDEX(PT_DIFFERENTIATION_CS,MATCH(C44,PT_DIFFERENTIATION_CS_ID,0))</f>
        <v/>
      </c>
      <c r="AD44" s="2271"/>
      <c r="AE44" s="2271"/>
      <c r="AF44" s="2271"/>
      <c r="AG44" s="2271"/>
      <c r="AH44" s="2271"/>
      <c r="AI44" s="2271"/>
      <c r="AJ44" s="2272"/>
      <c r="AK44" s="1267" t="s">
        <v>415</v>
      </c>
      <c r="AM44" s="1633"/>
      <c r="AN44" s="1633" t="str">
        <f>IF(T44="","",T44)</f>
        <v>Наименование системы теплоснабжения </v>
      </c>
      <c r="AO44" s="1633"/>
      <c r="AP44" s="1633"/>
      <c r="AQ44" s="1640">
        <v>23</v>
      </c>
    </row>
    <row customHeight="1" ht="22.049999999999997">
      <c r="A45" s="1276" t="s">
        <v>221</v>
      </c>
      <c r="B45" s="1276" t="s">
        <v>222</v>
      </c>
      <c r="C45" s="1276" t="s">
        <v>223</v>
      </c>
      <c r="D45" s="1276" t="s">
        <v>224</v>
      </c>
      <c r="E45" s="2318"/>
      <c r="F45" s="2318"/>
      <c r="G45" s="2318"/>
      <c r="H45" s="2317">
        <v>1</v>
      </c>
      <c r="I45" s="1276"/>
      <c r="J45" s="1276"/>
      <c r="K45" s="1276"/>
      <c r="L45" s="1319"/>
      <c r="M45" s="1619"/>
      <c r="N45" s="1619"/>
      <c r="O45" s="1619"/>
      <c r="P45" s="1421"/>
      <c r="Q45" s="1420"/>
      <c r="R45" s="362"/>
      <c r="S45" s="1964" t="str">
        <f>INDEX(PT_DIFFERENTIATION_NUM_IST_TE,MATCH(D45,PT_DIFFERENTIATION_IST_TE_ID,0))</f>
        <v>...</v>
      </c>
      <c r="T45" s="319" t="s">
        <v>416</v>
      </c>
      <c r="U45" s="309"/>
      <c r="V45" s="2271"/>
      <c r="W45" s="2271"/>
      <c r="X45" s="2271"/>
      <c r="Y45" s="2271"/>
      <c r="Z45" s="2271"/>
      <c r="AA45" s="2272"/>
      <c r="AB45" s="1958"/>
      <c r="AC45" s="2271" t="str">
        <f>INDEX(PT_DIFFERENTIATION_IST_TE,MATCH(D45,PT_DIFFERENTIATION_IST_TE_ID,0))</f>
        <v/>
      </c>
      <c r="AD45" s="2271"/>
      <c r="AE45" s="2271"/>
      <c r="AF45" s="2271"/>
      <c r="AG45" s="2271"/>
      <c r="AH45" s="2271"/>
      <c r="AI45" s="2271"/>
      <c r="AJ45" s="2272"/>
      <c r="AK45" s="1267" t="s">
        <v>417</v>
      </c>
      <c r="AM45" s="1633"/>
      <c r="AN45" s="1633" t="str">
        <f>IF(T45="","",T45)</f>
        <v>Источник тепловой энергии  </v>
      </c>
      <c r="AO45" s="1633"/>
      <c r="AP45" s="1633"/>
      <c r="AQ45" s="1640">
        <v>21</v>
      </c>
    </row>
    <row s="1651" customFormat="1" customHeight="1" ht="0">
      <c r="A46" s="1384" t="s">
        <v>221</v>
      </c>
      <c r="B46" s="1384" t="s">
        <v>222</v>
      </c>
      <c r="C46" s="1384" t="s">
        <v>223</v>
      </c>
      <c r="D46" s="1384" t="s">
        <v>224</v>
      </c>
      <c r="E46" s="2318"/>
      <c r="F46" s="2318"/>
      <c r="G46" s="2318"/>
      <c r="H46" s="2318"/>
      <c r="I46" s="2155" t="str">
        <f>S45&amp;".1"</f>
        <v>....1</v>
      </c>
      <c r="J46" s="1384"/>
      <c r="K46" s="1384"/>
      <c r="L46" s="1390" t="s">
        <v>418</v>
      </c>
      <c r="M46" s="1255"/>
      <c r="N46" s="1255"/>
      <c r="O46" s="1255"/>
      <c r="P46" s="2285">
        <v>1</v>
      </c>
      <c r="Q46" s="1960"/>
      <c r="R46" s="365"/>
      <c r="S46" s="1051"/>
      <c r="T46" s="1392"/>
      <c r="U46" s="1393"/>
      <c r="V46" s="2325"/>
      <c r="W46" s="2325"/>
      <c r="X46" s="2325"/>
      <c r="Y46" s="2325"/>
      <c r="Z46" s="2325"/>
      <c r="AA46" s="2326"/>
      <c r="AB46" s="1966"/>
      <c r="AC46" s="2325"/>
      <c r="AD46" s="2325"/>
      <c r="AE46" s="2325"/>
      <c r="AF46" s="2325"/>
      <c r="AG46" s="2325"/>
      <c r="AH46" s="2325"/>
      <c r="AI46" s="2325"/>
      <c r="AJ46" s="2326"/>
      <c r="AK46" s="1394"/>
      <c r="AM46" s="1633"/>
      <c r="AN46" s="1633" t="str">
        <f>IF(T46="","",T46)</f>
        <v/>
      </c>
      <c r="AO46" s="1633"/>
      <c r="AP46" s="1633"/>
      <c r="AQ46" s="1645">
        <v>0</v>
      </c>
    </row>
    <row s="1651" customFormat="1" customHeight="1" ht="0">
      <c r="A47" s="1384" t="s">
        <v>221</v>
      </c>
      <c r="B47" s="1384" t="s">
        <v>222</v>
      </c>
      <c r="C47" s="1384" t="s">
        <v>223</v>
      </c>
      <c r="D47" s="1384" t="s">
        <v>224</v>
      </c>
      <c r="E47" s="2318"/>
      <c r="F47" s="2318"/>
      <c r="G47" s="2318"/>
      <c r="H47" s="2318"/>
      <c r="I47" s="2129"/>
      <c r="J47" s="2155" t="str">
        <f>S45&amp;".1"</f>
        <v>....1</v>
      </c>
      <c r="K47" s="1384"/>
      <c r="L47" s="1390"/>
      <c r="M47" s="1255"/>
      <c r="N47" s="1255"/>
      <c r="O47" s="1255"/>
      <c r="P47" s="2285"/>
      <c r="Q47" s="2285">
        <v>1</v>
      </c>
      <c r="R47" s="366"/>
      <c r="S47" s="1051"/>
      <c r="T47" s="1408"/>
      <c r="U47" s="1393"/>
      <c r="V47" s="2325"/>
      <c r="W47" s="2325"/>
      <c r="X47" s="2325"/>
      <c r="Y47" s="2325"/>
      <c r="Z47" s="2325"/>
      <c r="AA47" s="2326"/>
      <c r="AB47" s="1966"/>
      <c r="AC47" s="2325"/>
      <c r="AD47" s="2325"/>
      <c r="AE47" s="2325"/>
      <c r="AF47" s="2325"/>
      <c r="AG47" s="2325"/>
      <c r="AH47" s="2325"/>
      <c r="AI47" s="2325"/>
      <c r="AJ47" s="2326"/>
      <c r="AK47" s="1394"/>
      <c r="AM47" s="1633"/>
      <c r="AN47" s="1633" t="str">
        <f>IF(T47="","",T47)</f>
        <v/>
      </c>
      <c r="AO47" s="1633"/>
      <c r="AP47" s="1633"/>
      <c r="AQ47" s="1645">
        <v>0</v>
      </c>
    </row>
    <row customHeight="1" ht="22.049999999999997">
      <c r="A48" s="1276" t="s">
        <v>221</v>
      </c>
      <c r="B48" s="1276" t="s">
        <v>222</v>
      </c>
      <c r="C48" s="1276" t="s">
        <v>223</v>
      </c>
      <c r="D48" s="1276" t="s">
        <v>224</v>
      </c>
      <c r="E48" s="2318"/>
      <c r="F48" s="2318"/>
      <c r="G48" s="2318"/>
      <c r="H48" s="2318"/>
      <c r="I48" s="2129"/>
      <c r="J48" s="2129"/>
      <c r="K48" s="1947" t="str">
        <f>S45&amp;".1"</f>
        <v>....1</v>
      </c>
      <c r="L48" s="1319"/>
      <c r="P48" s="2285"/>
      <c r="Q48" s="2285"/>
      <c r="R48" s="366">
        <v>1</v>
      </c>
      <c r="S48" s="1968" t="str">
        <f>$K48</f>
        <v>....1</v>
      </c>
      <c r="T48" s="1967"/>
      <c r="U48" s="309"/>
      <c r="V48" s="760"/>
      <c r="W48" s="1266"/>
      <c r="X48" s="1961"/>
      <c r="Y48" s="1948" t="s">
        <v>63</v>
      </c>
      <c r="Z48" s="1961"/>
      <c r="AA48" s="1948" t="s">
        <v>63</v>
      </c>
      <c r="AB48" s="1970"/>
      <c r="AC48" s="1969" t="s">
        <v>22</v>
      </c>
      <c r="AD48" s="760"/>
      <c r="AE48" s="1266"/>
      <c r="AF48" s="1961"/>
      <c r="AG48" s="1948" t="s">
        <v>63</v>
      </c>
      <c r="AH48" s="1961"/>
      <c r="AI48" s="1948" t="s">
        <v>63</v>
      </c>
      <c r="AJ48" s="1357"/>
      <c r="AK48" s="2281" t="s">
        <v>491</v>
      </c>
      <c r="AL48" s="1645">
        <f>STRCHECKDATE(#REF!)</f>
      </c>
      <c r="AM48" s="1633"/>
      <c r="AN48" s="1633" t="str">
        <f>IF(T48="","",T48)</f>
        <v/>
      </c>
      <c r="AO48" s="1633"/>
      <c r="AP48" s="1633"/>
      <c r="AQ48" s="1640">
        <v>21</v>
      </c>
    </row>
    <row customHeight="1" ht="11.549999999999999">
      <c r="A49" s="1276" t="s">
        <v>221</v>
      </c>
      <c r="B49" s="1276" t="s">
        <v>222</v>
      </c>
      <c r="C49" s="1276" t="s">
        <v>223</v>
      </c>
      <c r="D49" s="1276" t="s">
        <v>224</v>
      </c>
      <c r="E49" s="2318"/>
      <c r="F49" s="2318"/>
      <c r="G49" s="2318"/>
      <c r="H49" s="2318"/>
      <c r="I49" s="2129"/>
      <c r="J49" s="2155"/>
      <c r="K49" s="1276"/>
      <c r="L49" s="1319"/>
      <c r="P49" s="2285"/>
      <c r="Q49" s="2285"/>
      <c r="R49" s="365"/>
      <c r="S49" s="1287"/>
      <c r="T49" s="296" t="s">
        <v>479</v>
      </c>
      <c r="U49" s="609"/>
      <c r="V49" s="609"/>
      <c r="W49" s="609"/>
      <c r="X49" s="609"/>
      <c r="Y49" s="609"/>
      <c r="Z49" s="609"/>
      <c r="AA49" s="333"/>
      <c r="AB49" s="609"/>
      <c r="AC49" s="609"/>
      <c r="AD49" s="609"/>
      <c r="AE49" s="609"/>
      <c r="AF49" s="609"/>
      <c r="AG49" s="609"/>
      <c r="AH49" s="609"/>
      <c r="AI49" s="609"/>
      <c r="AJ49" s="333"/>
      <c r="AK49" s="2283"/>
      <c r="AM49" s="1633"/>
      <c r="AN49" s="1633" t="str">
        <f>IF(T49="","",T49)</f>
        <v>Добавить строку</v>
      </c>
      <c r="AO49" s="1633"/>
      <c r="AP49" s="1633"/>
      <c r="AQ49" s="1640">
        <v>11</v>
      </c>
    </row>
    <row s="1651" customFormat="1" customHeight="1" ht="1.05">
      <c r="A50" s="1384" t="s">
        <v>221</v>
      </c>
      <c r="B50" s="1384" t="s">
        <v>222</v>
      </c>
      <c r="C50" s="1384" t="s">
        <v>223</v>
      </c>
      <c r="D50" s="1384" t="s">
        <v>224</v>
      </c>
      <c r="E50" s="2318"/>
      <c r="F50" s="2318"/>
      <c r="G50" s="2318"/>
      <c r="H50" s="2318"/>
      <c r="I50" s="2155"/>
      <c r="J50" s="1384"/>
      <c r="K50" s="1384"/>
      <c r="L50" s="1390"/>
      <c r="M50" s="1255"/>
      <c r="N50" s="1255"/>
      <c r="O50" s="1255"/>
      <c r="P50" s="2285"/>
      <c r="Q50" s="1960"/>
      <c r="R50" s="365"/>
      <c r="S50" s="1395"/>
      <c r="T50" s="1396" t="s">
        <v>427</v>
      </c>
      <c r="U50" s="1397"/>
      <c r="V50" s="1397"/>
      <c r="W50" s="1397"/>
      <c r="X50" s="1397"/>
      <c r="Y50" s="1397"/>
      <c r="Z50" s="1397"/>
      <c r="AA50" s="1397"/>
      <c r="AB50" s="1397"/>
      <c r="AC50" s="1397"/>
      <c r="AD50" s="1397"/>
      <c r="AE50" s="1397"/>
      <c r="AF50" s="1397"/>
      <c r="AG50" s="1397"/>
      <c r="AH50" s="1397"/>
      <c r="AI50" s="1397"/>
      <c r="AJ50" s="1397"/>
      <c r="AK50" s="1398"/>
      <c r="AM50" s="1633"/>
      <c r="AN50" s="1633" t="str">
        <f>IF(T50="","",T50)</f>
        <v>Добавить группу потребителей</v>
      </c>
      <c r="AO50" s="1633"/>
      <c r="AP50" s="1633"/>
      <c r="AQ50" s="1645">
        <v>1</v>
      </c>
    </row>
    <row s="1650" customFormat="1" customHeight="1" ht="1.05">
      <c r="A51" s="1384" t="s">
        <v>221</v>
      </c>
      <c r="B51" s="1384" t="s">
        <v>222</v>
      </c>
      <c r="C51" s="1384" t="s">
        <v>223</v>
      </c>
      <c r="D51" s="1384" t="s">
        <v>224</v>
      </c>
      <c r="E51" s="2318"/>
      <c r="F51" s="2318"/>
      <c r="G51" s="2318"/>
      <c r="H51" s="2317"/>
      <c r="I51" s="1384"/>
      <c r="J51" s="1384"/>
      <c r="K51" s="1384"/>
      <c r="L51" s="1390"/>
      <c r="M51" s="1387"/>
      <c r="N51" s="1387"/>
      <c r="O51" s="360"/>
      <c r="P51" s="389"/>
      <c r="Q51" s="1353"/>
      <c r="R51" s="1409"/>
      <c r="S51" s="1395"/>
      <c r="T51" s="1396"/>
      <c r="U51" s="1397"/>
      <c r="V51" s="1397"/>
      <c r="W51" s="1397"/>
      <c r="X51" s="1397"/>
      <c r="Y51" s="1397"/>
      <c r="Z51" s="1397"/>
      <c r="AA51" s="1397"/>
      <c r="AB51" s="1397"/>
      <c r="AC51" s="1397"/>
      <c r="AD51" s="1397"/>
      <c r="AE51" s="1397"/>
      <c r="AF51" s="1397"/>
      <c r="AG51" s="1397"/>
      <c r="AH51" s="1397"/>
      <c r="AI51" s="1397"/>
      <c r="AJ51" s="1397"/>
      <c r="AK51" s="1398"/>
      <c r="AL51" s="1645"/>
      <c r="AM51" s="1633"/>
      <c r="AN51" s="1633" t="str">
        <f>IF(T51="","",T51)</f>
        <v/>
      </c>
      <c r="AO51" s="1633"/>
      <c r="AP51" s="1633"/>
      <c r="AQ51" s="1650">
        <v>1</v>
      </c>
    </row>
    <row s="1651" customFormat="1" customHeight="1" ht="1.05">
      <c r="A52" s="1384" t="s">
        <v>221</v>
      </c>
      <c r="B52" s="1384" t="s">
        <v>222</v>
      </c>
      <c r="C52" s="1384" t="s">
        <v>223</v>
      </c>
      <c r="D52" s="1383"/>
      <c r="E52" s="2318"/>
      <c r="F52" s="2318"/>
      <c r="G52" s="2317"/>
      <c r="H52" s="1383"/>
      <c r="I52" s="1383"/>
      <c r="J52" s="1383"/>
      <c r="K52" s="1383"/>
      <c r="L52" s="1386"/>
      <c r="M52" s="1387"/>
      <c r="N52" s="1387"/>
      <c r="O52" s="360"/>
      <c r="P52" s="1325"/>
      <c r="Q52" s="1326"/>
      <c r="R52" s="1325"/>
      <c r="S52" s="1331"/>
      <c r="T52" s="1334" t="s">
        <v>429</v>
      </c>
      <c r="U52" s="1333"/>
      <c r="V52" s="1333"/>
      <c r="W52" s="1333"/>
      <c r="X52" s="1333"/>
      <c r="Y52" s="1333"/>
      <c r="Z52" s="1333"/>
      <c r="AA52" s="1333"/>
      <c r="AB52" s="1333"/>
      <c r="AC52" s="1333"/>
      <c r="AD52" s="1333"/>
      <c r="AE52" s="1333"/>
      <c r="AF52" s="1333"/>
      <c r="AG52" s="1333"/>
      <c r="AH52" s="1333"/>
      <c r="AI52" s="1333"/>
      <c r="AJ52" s="1333"/>
      <c r="AK52" s="1333"/>
      <c r="AM52" s="1260"/>
      <c r="AN52" s="1260" t="str">
        <f>IF(T52="","",T52)</f>
        <v>Добавить источник для дифференциации</v>
      </c>
      <c r="AO52" s="1260"/>
      <c r="AP52" s="1260"/>
      <c r="AQ52" s="1651">
        <v>1</v>
      </c>
    </row>
    <row s="1651" customFormat="1" customHeight="1" ht="1.05">
      <c r="A53" s="1384" t="s">
        <v>221</v>
      </c>
      <c r="B53" s="1384" t="s">
        <v>222</v>
      </c>
      <c r="C53" s="1383"/>
      <c r="D53" s="1383"/>
      <c r="E53" s="2318"/>
      <c r="F53" s="2317"/>
      <c r="G53" s="1383"/>
      <c r="H53" s="1383"/>
      <c r="I53" s="1383"/>
      <c r="J53" s="1383"/>
      <c r="K53" s="1383"/>
      <c r="L53" s="1386"/>
      <c r="M53" s="1388"/>
      <c r="N53" s="1388"/>
      <c r="O53" s="360"/>
      <c r="P53" s="1325"/>
      <c r="Q53" s="1326"/>
      <c r="R53" s="1325"/>
      <c r="S53" s="1331"/>
      <c r="T53" s="1334" t="s">
        <v>430</v>
      </c>
      <c r="U53" s="1333"/>
      <c r="V53" s="1333"/>
      <c r="W53" s="1333"/>
      <c r="X53" s="1333"/>
      <c r="Y53" s="1333"/>
      <c r="Z53" s="1333"/>
      <c r="AA53" s="1333"/>
      <c r="AB53" s="1333"/>
      <c r="AC53" s="1333"/>
      <c r="AD53" s="1333"/>
      <c r="AE53" s="1333"/>
      <c r="AF53" s="1333"/>
      <c r="AG53" s="1333"/>
      <c r="AH53" s="1333"/>
      <c r="AI53" s="1333"/>
      <c r="AJ53" s="1333"/>
      <c r="AK53" s="1333"/>
      <c r="AM53" s="1260"/>
      <c r="AN53" s="1260" t="str">
        <f>IF(T53="","",T53)</f>
        <v>Добавить централизованную систему для дифференциации</v>
      </c>
      <c r="AO53" s="1260"/>
      <c r="AP53" s="1260"/>
      <c r="AQ53" s="1651">
        <v>1</v>
      </c>
    </row>
    <row s="1651" customFormat="1" customHeight="1" ht="1.05">
      <c r="A54" s="1384" t="s">
        <v>221</v>
      </c>
      <c r="B54" s="1384"/>
      <c r="C54" s="1384"/>
      <c r="D54" s="1384"/>
      <c r="E54" s="2318"/>
      <c r="F54" s="1384"/>
      <c r="G54" s="1384"/>
      <c r="H54" s="1384"/>
      <c r="I54" s="1384"/>
      <c r="J54" s="1384"/>
      <c r="K54" s="1384"/>
      <c r="L54" s="1390"/>
      <c r="M54" s="1388"/>
      <c r="N54" s="1388"/>
      <c r="O54" s="360"/>
      <c r="P54" s="389"/>
      <c r="Q54" s="1353"/>
      <c r="R54" s="389"/>
      <c r="S54" s="1331"/>
      <c r="T54" s="1334" t="s">
        <v>431</v>
      </c>
      <c r="U54" s="1333"/>
      <c r="V54" s="1333"/>
      <c r="W54" s="1333"/>
      <c r="X54" s="1333"/>
      <c r="Y54" s="1333"/>
      <c r="Z54" s="1333"/>
      <c r="AA54" s="1333"/>
      <c r="AB54" s="1333"/>
      <c r="AC54" s="1333"/>
      <c r="AD54" s="1333"/>
      <c r="AE54" s="1333"/>
      <c r="AF54" s="1333"/>
      <c r="AG54" s="1333"/>
      <c r="AH54" s="1333"/>
      <c r="AI54" s="1333"/>
      <c r="AJ54" s="1333"/>
      <c r="AK54" s="1333"/>
      <c r="AM54" s="1633"/>
      <c r="AN54" s="1633" t="str">
        <f>IF(T54="","",T54)</f>
        <v>Добавить территорию для дифференциации</v>
      </c>
      <c r="AO54" s="1633"/>
      <c r="AP54" s="1633"/>
      <c r="AQ54" s="1645">
        <v>1</v>
      </c>
    </row>
    <row s="1651" customFormat="1" customHeight="1" ht="1.05">
      <c r="A55" s="1384" t="s">
        <v>221</v>
      </c>
      <c r="B55" s="1384"/>
      <c r="C55" s="1384"/>
      <c r="D55" s="1384"/>
      <c r="E55" s="2317"/>
      <c r="F55" s="1384"/>
      <c r="G55" s="1384"/>
      <c r="H55" s="1384"/>
      <c r="I55" s="1384"/>
      <c r="J55" s="1384"/>
      <c r="K55" s="1384"/>
      <c r="L55" s="1390"/>
      <c r="M55" s="1388"/>
      <c r="N55" s="1388"/>
      <c r="O55" s="360"/>
      <c r="P55" s="389"/>
      <c r="Q55" s="1353"/>
      <c r="R55" s="389"/>
      <c r="S55" s="1331"/>
      <c r="T55" s="1334" t="s">
        <v>431</v>
      </c>
      <c r="U55" s="1333"/>
      <c r="V55" s="1333"/>
      <c r="W55" s="1333"/>
      <c r="X55" s="1333"/>
      <c r="Y55" s="1333"/>
      <c r="Z55" s="1333"/>
      <c r="AA55" s="1333"/>
      <c r="AB55" s="1333"/>
      <c r="AC55" s="1333"/>
      <c r="AD55" s="1333"/>
      <c r="AE55" s="1333"/>
      <c r="AF55" s="1333"/>
      <c r="AG55" s="1333"/>
      <c r="AH55" s="1333"/>
      <c r="AI55" s="1333"/>
      <c r="AJ55" s="1333"/>
      <c r="AK55" s="1333"/>
      <c r="AM55" s="1633"/>
      <c r="AN55" s="1633" t="str">
        <f>IF(T55="","",T55)</f>
        <v>Добавить территорию для дифференциации</v>
      </c>
      <c r="AO55" s="1633"/>
      <c r="AP55" s="1633"/>
      <c r="AQ55" s="1645">
        <v>1</v>
      </c>
    </row>
    <row s="1651" customFormat="1" customHeight="1" ht="1.05">
      <c r="A56" s="1383"/>
      <c r="B56" s="1383"/>
      <c r="C56" s="1383"/>
      <c r="D56" s="1383"/>
      <c r="E56" s="1384"/>
      <c r="F56" s="1383"/>
      <c r="G56" s="1383"/>
      <c r="H56" s="1383"/>
      <c r="I56" s="1383"/>
      <c r="J56" s="1383"/>
      <c r="K56" s="1383"/>
      <c r="L56" s="1386"/>
      <c r="M56" s="1388"/>
      <c r="N56" s="1388"/>
      <c r="O56" s="360"/>
      <c r="P56" s="1325"/>
      <c r="Q56" s="1326"/>
      <c r="R56" s="1325"/>
      <c r="S56" s="1331"/>
      <c r="T56" s="1334" t="s">
        <v>459</v>
      </c>
      <c r="U56" s="1333"/>
      <c r="V56" s="1333"/>
      <c r="W56" s="1333"/>
      <c r="X56" s="1333"/>
      <c r="Y56" s="1333"/>
      <c r="Z56" s="1333"/>
      <c r="AA56" s="1333"/>
      <c r="AB56" s="1333"/>
      <c r="AC56" s="1333"/>
      <c r="AD56" s="1333"/>
      <c r="AE56" s="1333"/>
      <c r="AF56" s="1333"/>
      <c r="AG56" s="1333"/>
      <c r="AH56" s="1333"/>
      <c r="AI56" s="1333"/>
      <c r="AJ56" s="1333"/>
      <c r="AK56" s="1333"/>
      <c r="AM56" s="1260"/>
      <c r="AN56" s="1260" t="str">
        <f>IF(T56="","",T56)</f>
        <v>Добавить наименование тарифа</v>
      </c>
      <c r="AO56" s="1260"/>
      <c r="AP56" s="1260"/>
      <c r="AQ56" s="1651">
        <v>1</v>
      </c>
    </row>
    <row customHeight="1" ht="11.549999999999999">
      <c r="M57" s="1640"/>
      <c r="N57" s="1640"/>
      <c r="O57" s="1644"/>
      <c r="P57" s="1375"/>
      <c r="Q57" s="1375"/>
      <c r="R57" s="1640"/>
      <c r="S57" s="1640"/>
      <c r="AL57" s="1640"/>
      <c r="AM57" s="1640"/>
      <c r="AN57" s="1640"/>
      <c r="AO57" s="1640"/>
      <c r="AP57" s="1640"/>
      <c r="AQ57" s="1640">
        <v>11</v>
      </c>
    </row>
    <row customHeight="1" ht="19.95">
      <c r="O58" s="1644"/>
      <c r="S58" s="1262"/>
      <c r="T58" s="2313"/>
      <c r="U58" s="2313"/>
      <c r="V58" s="2313"/>
      <c r="W58" s="2313"/>
      <c r="X58" s="2313"/>
      <c r="Y58" s="2313"/>
      <c r="Z58" s="2313"/>
      <c r="AA58" s="2313"/>
      <c r="AB58" s="2313"/>
      <c r="AC58" s="2313"/>
      <c r="AD58" s="2313"/>
      <c r="AE58" s="2313"/>
      <c r="AF58" s="2313"/>
      <c r="AG58" s="2313"/>
      <c r="AH58" s="2313"/>
      <c r="AI58" s="2313"/>
      <c r="AJ58" s="2313"/>
      <c r="AK58" s="2313"/>
      <c r="AQ58" s="1640">
        <v>19</v>
      </c>
    </row>
    <row customHeight="1" ht="21">
      <c r="O59" s="1644"/>
      <c r="T59" s="2313"/>
      <c r="U59" s="2313"/>
      <c r="V59" s="2313"/>
      <c r="W59" s="2313"/>
      <c r="X59" s="2313"/>
      <c r="Y59" s="2313"/>
      <c r="Z59" s="2313"/>
      <c r="AA59" s="2313"/>
      <c r="AB59" s="2313"/>
      <c r="AC59" s="2313"/>
      <c r="AD59" s="2313"/>
      <c r="AE59" s="2313"/>
      <c r="AF59" s="2313"/>
      <c r="AG59" s="2313"/>
      <c r="AH59" s="2313"/>
      <c r="AI59" s="2313"/>
      <c r="AJ59" s="2313"/>
      <c r="AK59" s="2313"/>
      <c r="AQ59" s="1640">
        <v>20</v>
      </c>
    </row>
    <row customHeight="1" ht="14.699999999999998">
      <c r="O60" s="1644"/>
      <c r="T60" s="1959"/>
      <c r="U60" s="1959"/>
      <c r="V60" s="1959"/>
      <c r="W60" s="1959"/>
      <c r="X60" s="1959"/>
      <c r="Y60" s="1959"/>
      <c r="Z60" s="1959"/>
      <c r="AA60" s="1959"/>
      <c r="AB60" s="1959"/>
      <c r="AC60" s="1959"/>
      <c r="AD60" s="1959"/>
      <c r="AE60" s="1959"/>
      <c r="AF60" s="1959"/>
      <c r="AG60" s="1959"/>
      <c r="AH60" s="1959"/>
      <c r="AI60" s="1959"/>
      <c r="AJ60" s="1959"/>
      <c r="AK60" s="1959"/>
      <c r="AQ60" s="1640">
        <v>14</v>
      </c>
    </row>
    <row customHeight="1" ht="19.95">
      <c r="O61" s="1644"/>
      <c r="T61" s="2313"/>
      <c r="U61" s="2313"/>
      <c r="V61" s="2313"/>
      <c r="W61" s="2313"/>
      <c r="X61" s="2313"/>
      <c r="Y61" s="2313"/>
      <c r="Z61" s="2313"/>
      <c r="AA61" s="2313"/>
      <c r="AB61" s="2313"/>
      <c r="AC61" s="2313"/>
      <c r="AD61" s="2313"/>
      <c r="AE61" s="2313"/>
      <c r="AF61" s="2313"/>
      <c r="AG61" s="2313"/>
      <c r="AH61" s="2313"/>
      <c r="AI61" s="2313"/>
      <c r="AJ61" s="2313"/>
      <c r="AK61" s="2313"/>
      <c r="AQ61" s="1640">
        <v>19</v>
      </c>
    </row>
    <row customHeight="1" ht="16.8">
      <c r="O62" s="1644"/>
      <c r="T62" s="2313"/>
      <c r="U62" s="2313"/>
      <c r="V62" s="2313"/>
      <c r="W62" s="2313"/>
      <c r="X62" s="2313"/>
      <c r="Y62" s="2313"/>
      <c r="Z62" s="2313"/>
      <c r="AA62" s="2313"/>
      <c r="AB62" s="2313"/>
      <c r="AC62" s="2313"/>
      <c r="AD62" s="2313"/>
      <c r="AE62" s="2313"/>
      <c r="AF62" s="2313"/>
      <c r="AG62" s="2313"/>
      <c r="AH62" s="2313"/>
      <c r="AI62" s="2313"/>
      <c r="AJ62" s="2313"/>
      <c r="AK62" s="2313"/>
      <c r="AQ62" s="1640">
        <v>16</v>
      </c>
    </row>
    <row customHeight="1" ht="14.699999999999998">
      <c r="O63" s="1644"/>
      <c r="AQ63" s="1640">
        <v>14</v>
      </c>
    </row>
    <row customHeight="1" ht="22.5" hidden="1">
      <c r="A64" s="1640" t="s">
        <v>83</v>
      </c>
      <c r="B64" s="1640">
        <v>0</v>
      </c>
      <c r="C64" s="1640">
        <v>0</v>
      </c>
      <c r="D64" s="1640">
        <v>0</v>
      </c>
      <c r="E64" s="1640">
        <v>0</v>
      </c>
      <c r="F64" s="1640">
        <v>0</v>
      </c>
      <c r="G64" s="1640">
        <v>0</v>
      </c>
      <c r="H64" s="1640">
        <v>0</v>
      </c>
      <c r="I64" s="1640">
        <v>0</v>
      </c>
      <c r="J64" s="1640">
        <v>0</v>
      </c>
      <c r="K64" s="1640">
        <v>0</v>
      </c>
      <c r="L64" s="1945">
        <v>0</v>
      </c>
      <c r="M64" s="1971">
        <v>0</v>
      </c>
      <c r="N64" s="1971">
        <v>0</v>
      </c>
      <c r="O64" s="1971">
        <v>0</v>
      </c>
      <c r="P64" s="1371">
        <v>3</v>
      </c>
      <c r="Q64" s="1380">
        <v>3</v>
      </c>
      <c r="R64" s="353">
        <v>3</v>
      </c>
      <c r="S64" s="590">
        <v>12</v>
      </c>
      <c r="T64" s="1640">
        <v>31</v>
      </c>
      <c r="U64" s="1640">
        <v>0</v>
      </c>
      <c r="V64" s="1640">
        <v>0</v>
      </c>
      <c r="W64" s="1640">
        <v>0</v>
      </c>
      <c r="X64" s="1640">
        <v>0</v>
      </c>
      <c r="Y64" s="1640">
        <v>0</v>
      </c>
      <c r="Z64" s="1640">
        <v>0</v>
      </c>
      <c r="AA64" s="1640">
        <v>0</v>
      </c>
      <c r="AB64" s="1640">
        <v>27</v>
      </c>
      <c r="AC64" s="1640">
        <v>24</v>
      </c>
      <c r="AD64" s="1640">
        <v>21</v>
      </c>
      <c r="AE64" s="1640">
        <v>21</v>
      </c>
      <c r="AF64" s="1640">
        <v>11</v>
      </c>
      <c r="AG64" s="1640">
        <v>3</v>
      </c>
      <c r="AH64" s="1640">
        <v>11</v>
      </c>
      <c r="AI64" s="1640">
        <v>8</v>
      </c>
      <c r="AJ64" s="1640">
        <v>4</v>
      </c>
      <c r="AK64" s="1640">
        <v>115</v>
      </c>
      <c r="AL64" s="1645">
        <v>10</v>
      </c>
      <c r="AM64" s="1645">
        <v>10</v>
      </c>
      <c r="AN64" s="1645">
        <v>10</v>
      </c>
      <c r="AO64" s="1645">
        <v>10</v>
      </c>
      <c r="AP64" s="1645">
        <v>10</v>
      </c>
      <c r="AQ64" s="1640">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716603-B3BF-E453-4857-0.159C04A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434">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32"/>
      <c r="Q3" s="361"/>
      <c r="R3" s="362"/>
      <c r="S3" s="1434">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434">
        <f>INDEX(PT_DIFFERENTIATION_NUM_CS,MATCH(C4,PT_DIFFERENTIATION_CS_ID,0))</f>
      </c>
      <c r="T4" s="318" t="s">
        <v>494</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495</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87"/>
      <c r="F5" s="2287"/>
      <c r="G5" s="2287"/>
      <c r="H5" s="2287"/>
      <c r="I5" s="2284">
        <f>S4&amp;".1"</f>
      </c>
      <c r="J5" s="1372"/>
      <c r="K5" s="1372"/>
      <c r="L5" s="1373"/>
      <c r="P5" s="2285">
        <v>1</v>
      </c>
      <c r="Q5" s="1431"/>
      <c r="R5" s="365"/>
      <c r="S5" s="1434">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434">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434">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33"/>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31"/>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14.25"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435"/>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30"/>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30"/>
      <c r="M19" s="1371"/>
      <c r="N19" s="1371"/>
      <c r="O19" s="1371"/>
      <c r="P19" s="1371"/>
      <c r="Q19" s="1380"/>
      <c r="R19" s="1380"/>
      <c r="S19" s="738"/>
      <c r="AB19" s="1375"/>
      <c r="AI19" s="1375"/>
      <c r="AL19" s="520"/>
      <c r="AM19" s="520"/>
      <c r="AN19" s="520"/>
      <c r="AO19" s="520"/>
      <c r="AP19" s="520"/>
      <c r="AQ19" s="1169">
        <v>0</v>
      </c>
    </row>
    <row s="1375" customFormat="1" customHeight="1" ht="12" hidden="1">
      <c r="L20" s="1430"/>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372"/>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364"/>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361" t="s">
        <v>502</v>
      </c>
      <c r="W38" s="2290" t="s">
        <v>446</v>
      </c>
      <c r="X38" s="2291"/>
      <c r="Y38" s="2290" t="s">
        <v>447</v>
      </c>
      <c r="Z38" s="2297"/>
      <c r="AA38" s="2291"/>
      <c r="AB38" s="2306"/>
      <c r="AC38" s="1361" t="s">
        <v>502</v>
      </c>
      <c r="AD38" s="2290" t="s">
        <v>446</v>
      </c>
      <c r="AE38" s="2291"/>
      <c r="AF38" s="2290" t="s">
        <v>447</v>
      </c>
      <c r="AG38" s="2297"/>
      <c r="AH38" s="2291"/>
      <c r="AI38" s="2306"/>
      <c r="AJ38" s="2309"/>
      <c r="AK38" s="2155"/>
      <c r="AQ38" s="1164">
        <v>34</v>
      </c>
    </row>
    <row customHeight="1" ht="35.699999999999996">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361" t="s">
        <v>505</v>
      </c>
      <c r="W39" s="1231" t="s">
        <v>506</v>
      </c>
      <c r="X39" s="1231" t="s">
        <v>507</v>
      </c>
      <c r="Y39" s="1366" t="s">
        <v>457</v>
      </c>
      <c r="Z39" s="2298" t="s">
        <v>458</v>
      </c>
      <c r="AA39" s="2299"/>
      <c r="AB39" s="2307"/>
      <c r="AC39" s="1361" t="s">
        <v>505</v>
      </c>
      <c r="AD39" s="1231" t="s">
        <v>506</v>
      </c>
      <c r="AE39" s="1231" t="s">
        <v>507</v>
      </c>
      <c r="AF39" s="1366" t="s">
        <v>457</v>
      </c>
      <c r="AG39" s="2298" t="s">
        <v>458</v>
      </c>
      <c r="AH39" s="2299"/>
      <c r="AI39" s="2307"/>
      <c r="AJ39" s="2310"/>
      <c r="AK39" s="2155"/>
      <c r="AQ39" s="1164">
        <v>34</v>
      </c>
    </row>
    <row s="1650" customFormat="1" customHeight="1" ht="11.25" hidden="1">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362">
        <f>OFFSET(V40,0,-1)+1</f>
        <v>3</v>
      </c>
      <c r="W40" s="1362">
        <f>OFFSET(W40,0,-1)+1</f>
        <v>4</v>
      </c>
      <c r="X40" s="1362">
        <f>OFFSET(X40,0,-1)+1</f>
        <v>5</v>
      </c>
      <c r="Y40" s="1362">
        <f>OFFSET(Y40,0,-1)+1</f>
        <v>6</v>
      </c>
      <c r="Z40" s="2300">
        <f>OFFSET(Z40,0,-1)+1</f>
        <v>7</v>
      </c>
      <c r="AA40" s="2300"/>
      <c r="AB40" s="1362">
        <f>OFFSET(AB40,0,-2)+1</f>
        <v>8</v>
      </c>
      <c r="AC40" s="1362">
        <f>OFFSET(AC40,0,-1)+1</f>
        <v>9</v>
      </c>
      <c r="AD40" s="1362">
        <f>OFFSET(AD40,0,-1)+1</f>
        <v>10</v>
      </c>
      <c r="AE40" s="1362">
        <f>OFFSET(AE40,0,-1)+1</f>
        <v>11</v>
      </c>
      <c r="AF40" s="1362">
        <f>OFFSET(AF40,0,-1)+1</f>
        <v>12</v>
      </c>
      <c r="AG40" s="2300">
        <f>OFFSET(AG40,0,-1)+1</f>
        <v>13</v>
      </c>
      <c r="AH40" s="2300"/>
      <c r="AI40" s="1362">
        <f>OFFSET(AI40,0,-2)+1</f>
        <v>14</v>
      </c>
      <c r="AJ40" s="1254">
        <f>OFFSET(AJ40,0,-1)</f>
        <v>14</v>
      </c>
      <c r="AK40" s="1362">
        <f>OFFSET(AK40,0,-1)+1</f>
        <v>15</v>
      </c>
      <c r="AL40" s="520"/>
      <c r="AM40" s="520"/>
      <c r="AN40" s="520"/>
      <c r="AO40" s="520"/>
      <c r="AP40" s="520"/>
      <c r="AQ40" s="505">
        <v>0</v>
      </c>
    </row>
    <row customHeight="1" ht="24">
      <c r="A41" s="1372" t="s">
        <v>241</v>
      </c>
      <c r="B41" s="1372"/>
      <c r="C41" s="1372"/>
      <c r="D41" s="1372"/>
      <c r="E41" s="2286">
        <v>1</v>
      </c>
      <c r="F41" s="1372"/>
      <c r="G41" s="1372"/>
      <c r="H41" s="1372"/>
      <c r="I41" s="1372"/>
      <c r="J41" s="1372"/>
      <c r="K41" s="1372"/>
      <c r="L41" s="1373"/>
      <c r="M41" s="1374"/>
      <c r="N41" s="1374"/>
      <c r="O41" s="1374"/>
      <c r="P41" s="370"/>
      <c r="Q41" s="369"/>
      <c r="R41" s="364"/>
      <c r="S41" s="1367">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241</v>
      </c>
      <c r="B42" s="1372" t="s">
        <v>242</v>
      </c>
      <c r="C42" s="1372"/>
      <c r="D42" s="1372"/>
      <c r="E42" s="2287"/>
      <c r="F42" s="2286">
        <v>1</v>
      </c>
      <c r="G42" s="1372"/>
      <c r="H42" s="1372"/>
      <c r="I42" s="1372"/>
      <c r="J42" s="1372"/>
      <c r="K42" s="1372"/>
      <c r="L42" s="1373"/>
      <c r="M42" s="1374"/>
      <c r="N42" s="1374"/>
      <c r="O42" s="1374"/>
      <c r="P42" s="1365"/>
      <c r="Q42" s="361"/>
      <c r="R42" s="362"/>
      <c r="S42" s="1367"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241</v>
      </c>
      <c r="B43" s="1372" t="s">
        <v>242</v>
      </c>
      <c r="C43" s="1372" t="s">
        <v>243</v>
      </c>
      <c r="D43" s="1372"/>
      <c r="E43" s="2287"/>
      <c r="F43" s="2287"/>
      <c r="G43" s="2286">
        <v>1</v>
      </c>
      <c r="H43" s="1372"/>
      <c r="I43" s="1372"/>
      <c r="J43" s="1372"/>
      <c r="K43" s="1372"/>
      <c r="L43" s="1373"/>
      <c r="M43" s="1374"/>
      <c r="N43" s="1374"/>
      <c r="O43" s="1374"/>
      <c r="P43" s="363"/>
      <c r="Q43" s="361"/>
      <c r="R43" s="362"/>
      <c r="S43" s="1367" t="str">
        <f>INDEX(PT_DIFFERENTIATION_NUM_CS,MATCH(C43,PT_DIFFERENTIATION_CS_ID,0))</f>
        <v>..</v>
      </c>
      <c r="T43" s="318" t="s">
        <v>494</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495</v>
      </c>
      <c r="AM43" s="509"/>
      <c r="AN43" s="509" t="str">
        <f>IF(T43="","",T43)</f>
        <v>Наименование централизованной системы холодного водоснабжения</v>
      </c>
      <c r="AO43" s="509"/>
      <c r="AP43" s="509"/>
      <c r="AQ43" s="1164">
        <v>23</v>
      </c>
    </row>
    <row customHeight="1" ht="24">
      <c r="A44" s="1372" t="s">
        <v>241</v>
      </c>
      <c r="B44" s="1372" t="s">
        <v>242</v>
      </c>
      <c r="C44" s="1372" t="s">
        <v>243</v>
      </c>
      <c r="D44" s="1372" t="s">
        <v>508</v>
      </c>
      <c r="E44" s="2287"/>
      <c r="F44" s="2287"/>
      <c r="G44" s="2287"/>
      <c r="H44" s="2287"/>
      <c r="I44" s="2284" t="str">
        <f>S43&amp;".1"</f>
        <v>...1</v>
      </c>
      <c r="J44" s="1372"/>
      <c r="K44" s="1372"/>
      <c r="L44" s="1373"/>
      <c r="P44" s="2285">
        <v>1</v>
      </c>
      <c r="Q44" s="1363"/>
      <c r="R44" s="365"/>
      <c r="S44" s="1367"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241</v>
      </c>
      <c r="B45" s="1372" t="s">
        <v>242</v>
      </c>
      <c r="C45" s="1372" t="s">
        <v>243</v>
      </c>
      <c r="D45" s="1372" t="s">
        <v>508</v>
      </c>
      <c r="E45" s="2287"/>
      <c r="F45" s="2287"/>
      <c r="G45" s="2287"/>
      <c r="H45" s="2287"/>
      <c r="I45" s="2314"/>
      <c r="J45" s="2284" t="str">
        <f>I44&amp;".1"</f>
        <v>...1.1</v>
      </c>
      <c r="K45" s="1372"/>
      <c r="L45" s="1373" t="s">
        <v>421</v>
      </c>
      <c r="P45" s="2285"/>
      <c r="Q45" s="2285">
        <v>1</v>
      </c>
      <c r="R45" s="366"/>
      <c r="S45" s="1367"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241</v>
      </c>
      <c r="B46" s="1372" t="s">
        <v>242</v>
      </c>
      <c r="C46" s="1372" t="s">
        <v>243</v>
      </c>
      <c r="D46" s="1372" t="s">
        <v>508</v>
      </c>
      <c r="E46" s="2287"/>
      <c r="F46" s="2287"/>
      <c r="G46" s="2287"/>
      <c r="H46" s="2287"/>
      <c r="I46" s="2314"/>
      <c r="J46" s="2314"/>
      <c r="K46" s="2284" t="str">
        <f>J45&amp;".1"</f>
        <v>...1.1.1</v>
      </c>
      <c r="L46" s="1373"/>
      <c r="P46" s="2285"/>
      <c r="Q46" s="2285"/>
      <c r="R46" s="366">
        <v>1</v>
      </c>
      <c r="S46" s="1367" t="str">
        <f>$K46</f>
        <v>...1.1.1</v>
      </c>
      <c r="T46" s="1446"/>
      <c r="U46" s="309"/>
      <c r="V46" s="1369"/>
      <c r="W46" s="1369"/>
      <c r="X46" s="1370"/>
      <c r="Y46" s="2295"/>
      <c r="Z46" s="2296" t="s">
        <v>63</v>
      </c>
      <c r="AA46" s="2295"/>
      <c r="AB46" s="2296" t="s">
        <v>63</v>
      </c>
      <c r="AC46" s="760"/>
      <c r="AD46" s="760"/>
      <c r="AE46" s="1266"/>
      <c r="AF46" s="2293"/>
      <c r="AG46" s="2135" t="s">
        <v>63</v>
      </c>
      <c r="AH46" s="2315"/>
      <c r="AI46" s="2135" t="s">
        <v>19</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241</v>
      </c>
      <c r="B47" s="1372" t="s">
        <v>242</v>
      </c>
      <c r="C47" s="1372" t="s">
        <v>243</v>
      </c>
      <c r="D47" s="1372" t="s">
        <v>508</v>
      </c>
      <c r="E47" s="2287"/>
      <c r="F47" s="2287"/>
      <c r="G47" s="2287"/>
      <c r="H47" s="2287"/>
      <c r="I47" s="2314"/>
      <c r="J47" s="2314"/>
      <c r="K47" s="2284"/>
      <c r="L47" s="1373"/>
      <c r="P47" s="2285"/>
      <c r="Q47" s="2285"/>
      <c r="R47" s="366"/>
      <c r="S47" s="1368"/>
      <c r="T47" s="309"/>
      <c r="U47" s="309"/>
      <c r="V47" s="1369"/>
      <c r="W47" s="1369"/>
      <c r="X47" s="337" t="str">
        <f>Y46&amp;"-"&amp;AA46</f>
        <v>-</v>
      </c>
      <c r="Y47" s="2296"/>
      <c r="Z47" s="2296"/>
      <c r="AA47" s="2296"/>
      <c r="AB47" s="2296"/>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241</v>
      </c>
      <c r="B48" s="1372" t="s">
        <v>242</v>
      </c>
      <c r="C48" s="1372" t="s">
        <v>243</v>
      </c>
      <c r="D48" s="1372" t="s">
        <v>508</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241</v>
      </c>
      <c r="B49" s="1372" t="s">
        <v>242</v>
      </c>
      <c r="C49" s="1372" t="s">
        <v>243</v>
      </c>
      <c r="D49" s="1372" t="s">
        <v>508</v>
      </c>
      <c r="E49" s="2287"/>
      <c r="F49" s="2287"/>
      <c r="G49" s="2287"/>
      <c r="H49" s="2287"/>
      <c r="I49" s="2284"/>
      <c r="J49" s="1372"/>
      <c r="K49" s="1372"/>
      <c r="L49" s="1373"/>
      <c r="P49" s="2285"/>
      <c r="Q49" s="1363"/>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241</v>
      </c>
      <c r="B50" s="1372" t="s">
        <v>242</v>
      </c>
      <c r="C50" s="1372" t="s">
        <v>243</v>
      </c>
      <c r="D50" s="1372" t="s">
        <v>508</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241</v>
      </c>
      <c r="B51" s="1352" t="s">
        <v>242</v>
      </c>
      <c r="C51" s="1323"/>
      <c r="D51" s="1323"/>
      <c r="E51" s="2287"/>
      <c r="F51" s="2286"/>
      <c r="G51" s="1323"/>
      <c r="H51" s="1323"/>
      <c r="I51" s="1323"/>
      <c r="J51" s="1323"/>
      <c r="K51" s="1323"/>
      <c r="L51" s="1435"/>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241</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35"/>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30">
        <v>0</v>
      </c>
      <c r="M58" s="1371">
        <v>0</v>
      </c>
      <c r="N58" s="1371">
        <v>0</v>
      </c>
      <c r="O58" s="1371">
        <v>0</v>
      </c>
      <c r="P58" s="1360">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8891716-6B32-B11B-95FE-0.91F9F0F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466">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62"/>
      <c r="Q3" s="361"/>
      <c r="R3" s="362"/>
      <c r="S3" s="1466">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466">
        <f>INDEX(PT_DIFFERENTIATION_NUM_CS,MATCH(C4,PT_DIFFERENTIATION_CS_ID,0))</f>
      </c>
      <c r="T4" s="318" t="s">
        <v>494</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495</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87"/>
      <c r="F5" s="2287"/>
      <c r="G5" s="2287"/>
      <c r="H5" s="2287"/>
      <c r="I5" s="2284">
        <f>S4&amp;".1"</f>
      </c>
      <c r="J5" s="1372"/>
      <c r="K5" s="1372"/>
      <c r="L5" s="1373"/>
      <c r="P5" s="2285">
        <v>1</v>
      </c>
      <c r="Q5" s="1459"/>
      <c r="R5" s="365"/>
      <c r="S5" s="1466">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466">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466">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65"/>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59"/>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467"/>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56"/>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461" t="s">
        <v>502</v>
      </c>
      <c r="W38" s="2290" t="s">
        <v>446</v>
      </c>
      <c r="X38" s="2291"/>
      <c r="Y38" s="2290" t="s">
        <v>447</v>
      </c>
      <c r="Z38" s="2297"/>
      <c r="AA38" s="2291"/>
      <c r="AB38" s="2306"/>
      <c r="AC38" s="1461" t="s">
        <v>502</v>
      </c>
      <c r="AD38" s="2290" t="s">
        <v>446</v>
      </c>
      <c r="AE38" s="2291"/>
      <c r="AF38" s="2290" t="s">
        <v>447</v>
      </c>
      <c r="AG38" s="2297"/>
      <c r="AH38" s="2291"/>
      <c r="AI38" s="2306"/>
      <c r="AJ38" s="2309"/>
      <c r="AK38" s="2155"/>
      <c r="AQ38" s="1164">
        <v>34</v>
      </c>
    </row>
    <row customHeight="1" ht="35.699999999999996">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461" t="s">
        <v>505</v>
      </c>
      <c r="W39" s="1231" t="s">
        <v>506</v>
      </c>
      <c r="X39" s="1231" t="s">
        <v>507</v>
      </c>
      <c r="Y39" s="1464" t="s">
        <v>457</v>
      </c>
      <c r="Z39" s="2298" t="s">
        <v>458</v>
      </c>
      <c r="AA39" s="2299"/>
      <c r="AB39" s="2307"/>
      <c r="AC39" s="1461" t="s">
        <v>505</v>
      </c>
      <c r="AD39" s="1231" t="s">
        <v>506</v>
      </c>
      <c r="AE39" s="1231" t="s">
        <v>507</v>
      </c>
      <c r="AF39" s="1464" t="s">
        <v>457</v>
      </c>
      <c r="AG39" s="2298" t="s">
        <v>458</v>
      </c>
      <c r="AH39" s="2299"/>
      <c r="AI39" s="2307"/>
      <c r="AJ39" s="2310"/>
      <c r="AK39" s="2155"/>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460">
        <f>OFFSET(V40,0,-1)+1</f>
        <v>3</v>
      </c>
      <c r="W40" s="1460">
        <f>OFFSET(W40,0,-1)+1</f>
        <v>4</v>
      </c>
      <c r="X40" s="1460">
        <f>OFFSET(X40,0,-1)+1</f>
        <v>5</v>
      </c>
      <c r="Y40" s="1460">
        <f>OFFSET(Y40,0,-1)+1</f>
        <v>6</v>
      </c>
      <c r="Z40" s="2300">
        <f>OFFSET(Z40,0,-1)+1</f>
        <v>7</v>
      </c>
      <c r="AA40" s="2300"/>
      <c r="AB40" s="1460">
        <f>OFFSET(AB40,0,-2)+1</f>
        <v>8</v>
      </c>
      <c r="AC40" s="1460">
        <f>OFFSET(AC40,0,-1)+1</f>
        <v>9</v>
      </c>
      <c r="AD40" s="1460">
        <f>OFFSET(AD40,0,-1)+1</f>
        <v>10</v>
      </c>
      <c r="AE40" s="1460">
        <f>OFFSET(AE40,0,-1)+1</f>
        <v>11</v>
      </c>
      <c r="AF40" s="1460">
        <f>OFFSET(AF40,0,-1)+1</f>
        <v>12</v>
      </c>
      <c r="AG40" s="2300">
        <f>OFFSET(AG40,0,-1)+1</f>
        <v>13</v>
      </c>
      <c r="AH40" s="2300"/>
      <c r="AI40" s="1460">
        <f>OFFSET(AI40,0,-2)+1</f>
        <v>14</v>
      </c>
      <c r="AJ40" s="1254">
        <f>OFFSET(AJ40,0,-1)</f>
        <v>14</v>
      </c>
      <c r="AK40" s="1460">
        <f>OFFSET(AK40,0,-1)+1</f>
        <v>15</v>
      </c>
      <c r="AL40" s="520"/>
      <c r="AM40" s="520"/>
      <c r="AN40" s="520"/>
      <c r="AO40" s="520"/>
      <c r="AP40" s="520"/>
      <c r="AQ40" s="505">
        <v>0</v>
      </c>
    </row>
    <row customHeight="1" ht="24">
      <c r="A41" s="1372" t="s">
        <v>246</v>
      </c>
      <c r="B41" s="1372"/>
      <c r="C41" s="1372"/>
      <c r="D41" s="1372"/>
      <c r="E41" s="2286">
        <v>1</v>
      </c>
      <c r="F41" s="1372"/>
      <c r="G41" s="1372"/>
      <c r="H41" s="1372"/>
      <c r="I41" s="1372"/>
      <c r="J41" s="1372"/>
      <c r="K41" s="1372"/>
      <c r="L41" s="1373"/>
      <c r="M41" s="1374"/>
      <c r="N41" s="1374"/>
      <c r="O41" s="1374"/>
      <c r="P41" s="370"/>
      <c r="Q41" s="369"/>
      <c r="R41" s="364"/>
      <c r="S41" s="1466">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246</v>
      </c>
      <c r="B42" s="1372" t="s">
        <v>247</v>
      </c>
      <c r="C42" s="1372"/>
      <c r="D42" s="1372"/>
      <c r="E42" s="2287"/>
      <c r="F42" s="2286">
        <v>1</v>
      </c>
      <c r="G42" s="1372"/>
      <c r="H42" s="1372"/>
      <c r="I42" s="1372"/>
      <c r="J42" s="1372"/>
      <c r="K42" s="1372"/>
      <c r="L42" s="1373"/>
      <c r="M42" s="1374"/>
      <c r="N42" s="1374"/>
      <c r="O42" s="1374"/>
      <c r="P42" s="1462"/>
      <c r="Q42" s="361"/>
      <c r="R42" s="362"/>
      <c r="S42" s="1466"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246</v>
      </c>
      <c r="B43" s="1372" t="s">
        <v>247</v>
      </c>
      <c r="C43" s="1372" t="s">
        <v>248</v>
      </c>
      <c r="D43" s="1372"/>
      <c r="E43" s="2287"/>
      <c r="F43" s="2287"/>
      <c r="G43" s="2286">
        <v>1</v>
      </c>
      <c r="H43" s="1372"/>
      <c r="I43" s="1372"/>
      <c r="J43" s="1372"/>
      <c r="K43" s="1372"/>
      <c r="L43" s="1373"/>
      <c r="M43" s="1374"/>
      <c r="N43" s="1374"/>
      <c r="O43" s="1374"/>
      <c r="P43" s="363"/>
      <c r="Q43" s="361"/>
      <c r="R43" s="362"/>
      <c r="S43" s="1466" t="str">
        <f>INDEX(PT_DIFFERENTIATION_NUM_CS,MATCH(C43,PT_DIFFERENTIATION_CS_ID,0))</f>
        <v>..</v>
      </c>
      <c r="T43" s="318" t="s">
        <v>494</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495</v>
      </c>
      <c r="AM43" s="509"/>
      <c r="AN43" s="509" t="str">
        <f>IF(T43="","",T43)</f>
        <v>Наименование централизованной системы холодного водоснабжения</v>
      </c>
      <c r="AO43" s="509"/>
      <c r="AP43" s="509"/>
      <c r="AQ43" s="1164">
        <v>23</v>
      </c>
    </row>
    <row customHeight="1" ht="24">
      <c r="A44" s="1372" t="s">
        <v>246</v>
      </c>
      <c r="B44" s="1372" t="s">
        <v>247</v>
      </c>
      <c r="C44" s="1372" t="s">
        <v>248</v>
      </c>
      <c r="D44" s="1372" t="s">
        <v>509</v>
      </c>
      <c r="E44" s="2287"/>
      <c r="F44" s="2287"/>
      <c r="G44" s="2287"/>
      <c r="H44" s="2287"/>
      <c r="I44" s="2284" t="str">
        <f>S43&amp;".1"</f>
        <v>...1</v>
      </c>
      <c r="J44" s="1372"/>
      <c r="K44" s="1372"/>
      <c r="L44" s="1373"/>
      <c r="P44" s="2285">
        <v>1</v>
      </c>
      <c r="Q44" s="1459"/>
      <c r="R44" s="365"/>
      <c r="S44" s="1466"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246</v>
      </c>
      <c r="B45" s="1372" t="s">
        <v>247</v>
      </c>
      <c r="C45" s="1372" t="s">
        <v>248</v>
      </c>
      <c r="D45" s="1372" t="s">
        <v>509</v>
      </c>
      <c r="E45" s="2287"/>
      <c r="F45" s="2287"/>
      <c r="G45" s="2287"/>
      <c r="H45" s="2287"/>
      <c r="I45" s="2314"/>
      <c r="J45" s="2284" t="str">
        <f>I44&amp;".1"</f>
        <v>...1.1</v>
      </c>
      <c r="K45" s="1372"/>
      <c r="L45" s="1373" t="s">
        <v>421</v>
      </c>
      <c r="P45" s="2285"/>
      <c r="Q45" s="2285">
        <v>1</v>
      </c>
      <c r="R45" s="366"/>
      <c r="S45" s="1466"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246</v>
      </c>
      <c r="B46" s="1372" t="s">
        <v>247</v>
      </c>
      <c r="C46" s="1372" t="s">
        <v>248</v>
      </c>
      <c r="D46" s="1372" t="s">
        <v>509</v>
      </c>
      <c r="E46" s="2287"/>
      <c r="F46" s="2287"/>
      <c r="G46" s="2287"/>
      <c r="H46" s="2287"/>
      <c r="I46" s="2314"/>
      <c r="J46" s="2314"/>
      <c r="K46" s="2284" t="str">
        <f>J45&amp;".1"</f>
        <v>...1.1.1</v>
      </c>
      <c r="L46" s="1373"/>
      <c r="P46" s="2285"/>
      <c r="Q46" s="2285"/>
      <c r="R46" s="366">
        <v>1</v>
      </c>
      <c r="S46" s="1466" t="str">
        <f>$K46</f>
        <v>...1.1.1</v>
      </c>
      <c r="T46" s="1446"/>
      <c r="U46" s="309"/>
      <c r="V46" s="760"/>
      <c r="W46" s="760"/>
      <c r="X46" s="1266"/>
      <c r="Y46" s="2293"/>
      <c r="Z46" s="2135" t="s">
        <v>63</v>
      </c>
      <c r="AA46" s="2293"/>
      <c r="AB46" s="2135" t="s">
        <v>63</v>
      </c>
      <c r="AC46" s="760"/>
      <c r="AD46" s="760"/>
      <c r="AE46" s="1266"/>
      <c r="AF46" s="2293"/>
      <c r="AG46" s="2135" t="s">
        <v>63</v>
      </c>
      <c r="AH46" s="2315"/>
      <c r="AI46" s="2135" t="s">
        <v>63</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246</v>
      </c>
      <c r="B47" s="1372" t="s">
        <v>247</v>
      </c>
      <c r="C47" s="1372" t="s">
        <v>248</v>
      </c>
      <c r="D47" s="1372" t="s">
        <v>509</v>
      </c>
      <c r="E47" s="2287"/>
      <c r="F47" s="2287"/>
      <c r="G47" s="2287"/>
      <c r="H47" s="2287"/>
      <c r="I47" s="2314"/>
      <c r="J47" s="2314"/>
      <c r="K47" s="2284"/>
      <c r="L47" s="1373"/>
      <c r="P47" s="2285"/>
      <c r="Q47" s="2285"/>
      <c r="R47" s="366"/>
      <c r="S47" s="1465"/>
      <c r="T47" s="309"/>
      <c r="U47" s="309"/>
      <c r="V47" s="334"/>
      <c r="W47" s="334"/>
      <c r="X47" s="337" t="str">
        <f>Y46&amp;"-"&amp;AA46</f>
        <v>-</v>
      </c>
      <c r="Y47" s="2294"/>
      <c r="Z47" s="2135"/>
      <c r="AA47" s="2294"/>
      <c r="AB47" s="2135"/>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246</v>
      </c>
      <c r="B48" s="1372" t="s">
        <v>247</v>
      </c>
      <c r="C48" s="1372" t="s">
        <v>248</v>
      </c>
      <c r="D48" s="1372" t="s">
        <v>509</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246</v>
      </c>
      <c r="B49" s="1372" t="s">
        <v>247</v>
      </c>
      <c r="C49" s="1372" t="s">
        <v>248</v>
      </c>
      <c r="D49" s="1372" t="s">
        <v>509</v>
      </c>
      <c r="E49" s="2287"/>
      <c r="F49" s="2287"/>
      <c r="G49" s="2287"/>
      <c r="H49" s="2287"/>
      <c r="I49" s="2284"/>
      <c r="J49" s="1372"/>
      <c r="K49" s="1372"/>
      <c r="L49" s="1373"/>
      <c r="P49" s="2285"/>
      <c r="Q49" s="1459"/>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246</v>
      </c>
      <c r="B50" s="1372" t="s">
        <v>247</v>
      </c>
      <c r="C50" s="1372" t="s">
        <v>248</v>
      </c>
      <c r="D50" s="1372" t="s">
        <v>509</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246</v>
      </c>
      <c r="B51" s="1352" t="s">
        <v>247</v>
      </c>
      <c r="C51" s="1323"/>
      <c r="D51" s="1323"/>
      <c r="E51" s="2287"/>
      <c r="F51" s="2286"/>
      <c r="G51" s="1323"/>
      <c r="H51" s="1323"/>
      <c r="I51" s="1323"/>
      <c r="J51" s="1323"/>
      <c r="K51" s="1323"/>
      <c r="L51" s="1467"/>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246</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6320B5-252A-55FE-2136-0.F587EED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466">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62"/>
      <c r="Q3" s="361"/>
      <c r="R3" s="362"/>
      <c r="S3" s="1466">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466">
        <f>INDEX(PT_DIFFERENTIATION_NUM_CS,MATCH(C4,PT_DIFFERENTIATION_CS_ID,0))</f>
      </c>
      <c r="T4" s="318" t="s">
        <v>494</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495</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87"/>
      <c r="F5" s="2287"/>
      <c r="G5" s="2287"/>
      <c r="H5" s="2287"/>
      <c r="I5" s="2284">
        <f>S4&amp;".1"</f>
      </c>
      <c r="J5" s="1372"/>
      <c r="K5" s="1372"/>
      <c r="L5" s="1373"/>
      <c r="P5" s="2285">
        <v>1</v>
      </c>
      <c r="Q5" s="1459"/>
      <c r="R5" s="365"/>
      <c r="S5" s="1466">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466">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466">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65"/>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59"/>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467"/>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56"/>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461" t="s">
        <v>502</v>
      </c>
      <c r="W38" s="2290" t="s">
        <v>446</v>
      </c>
      <c r="X38" s="2291"/>
      <c r="Y38" s="2290" t="s">
        <v>447</v>
      </c>
      <c r="Z38" s="2297"/>
      <c r="AA38" s="2291"/>
      <c r="AB38" s="2306"/>
      <c r="AC38" s="1461" t="s">
        <v>502</v>
      </c>
      <c r="AD38" s="2290" t="s">
        <v>446</v>
      </c>
      <c r="AE38" s="2291"/>
      <c r="AF38" s="2290" t="s">
        <v>447</v>
      </c>
      <c r="AG38" s="2297"/>
      <c r="AH38" s="2291"/>
      <c r="AI38" s="2306"/>
      <c r="AJ38" s="2309"/>
      <c r="AK38" s="2155"/>
      <c r="AQ38" s="1164">
        <v>34</v>
      </c>
    </row>
    <row customHeight="1" ht="35.699999999999996">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461" t="s">
        <v>505</v>
      </c>
      <c r="W39" s="1231" t="s">
        <v>506</v>
      </c>
      <c r="X39" s="1231" t="s">
        <v>507</v>
      </c>
      <c r="Y39" s="1464" t="s">
        <v>457</v>
      </c>
      <c r="Z39" s="2298" t="s">
        <v>458</v>
      </c>
      <c r="AA39" s="2299"/>
      <c r="AB39" s="2307"/>
      <c r="AC39" s="1461" t="s">
        <v>505</v>
      </c>
      <c r="AD39" s="1231" t="s">
        <v>506</v>
      </c>
      <c r="AE39" s="1231" t="s">
        <v>507</v>
      </c>
      <c r="AF39" s="1464" t="s">
        <v>457</v>
      </c>
      <c r="AG39" s="2298" t="s">
        <v>458</v>
      </c>
      <c r="AH39" s="2299"/>
      <c r="AI39" s="2307"/>
      <c r="AJ39" s="2310"/>
      <c r="AK39" s="2155"/>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460">
        <f>OFFSET(V40,0,-1)+1</f>
        <v>3</v>
      </c>
      <c r="W40" s="1460">
        <f>OFFSET(W40,0,-1)+1</f>
        <v>4</v>
      </c>
      <c r="X40" s="1460">
        <f>OFFSET(X40,0,-1)+1</f>
        <v>5</v>
      </c>
      <c r="Y40" s="1460">
        <f>OFFSET(Y40,0,-1)+1</f>
        <v>6</v>
      </c>
      <c r="Z40" s="2300">
        <f>OFFSET(Z40,0,-1)+1</f>
        <v>7</v>
      </c>
      <c r="AA40" s="2300"/>
      <c r="AB40" s="1460">
        <f>OFFSET(AB40,0,-2)+1</f>
        <v>8</v>
      </c>
      <c r="AC40" s="1460">
        <f>OFFSET(AC40,0,-1)+1</f>
        <v>9</v>
      </c>
      <c r="AD40" s="1460">
        <f>OFFSET(AD40,0,-1)+1</f>
        <v>10</v>
      </c>
      <c r="AE40" s="1460">
        <f>OFFSET(AE40,0,-1)+1</f>
        <v>11</v>
      </c>
      <c r="AF40" s="1460">
        <f>OFFSET(AF40,0,-1)+1</f>
        <v>12</v>
      </c>
      <c r="AG40" s="2300">
        <f>OFFSET(AG40,0,-1)+1</f>
        <v>13</v>
      </c>
      <c r="AH40" s="2300"/>
      <c r="AI40" s="1460">
        <f>OFFSET(AI40,0,-2)+1</f>
        <v>14</v>
      </c>
      <c r="AJ40" s="1254">
        <f>OFFSET(AJ40,0,-1)</f>
        <v>14</v>
      </c>
      <c r="AK40" s="1460">
        <f>OFFSET(AK40,0,-1)+1</f>
        <v>15</v>
      </c>
      <c r="AL40" s="520"/>
      <c r="AM40" s="520"/>
      <c r="AN40" s="520"/>
      <c r="AO40" s="520"/>
      <c r="AP40" s="520"/>
      <c r="AQ40" s="505">
        <v>0</v>
      </c>
    </row>
    <row customHeight="1" ht="24">
      <c r="A41" s="1372" t="s">
        <v>251</v>
      </c>
      <c r="B41" s="1372"/>
      <c r="C41" s="1372"/>
      <c r="D41" s="1372"/>
      <c r="E41" s="2286">
        <v>1</v>
      </c>
      <c r="F41" s="1372"/>
      <c r="G41" s="1372"/>
      <c r="H41" s="1372"/>
      <c r="I41" s="1372"/>
      <c r="J41" s="1372"/>
      <c r="K41" s="1372"/>
      <c r="L41" s="1373"/>
      <c r="M41" s="1374"/>
      <c r="N41" s="1374"/>
      <c r="O41" s="1374"/>
      <c r="P41" s="370"/>
      <c r="Q41" s="369"/>
      <c r="R41" s="364"/>
      <c r="S41" s="1466">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251</v>
      </c>
      <c r="B42" s="1372" t="s">
        <v>252</v>
      </c>
      <c r="C42" s="1372"/>
      <c r="D42" s="1372"/>
      <c r="E42" s="2287"/>
      <c r="F42" s="2286">
        <v>1</v>
      </c>
      <c r="G42" s="1372"/>
      <c r="H42" s="1372"/>
      <c r="I42" s="1372"/>
      <c r="J42" s="1372"/>
      <c r="K42" s="1372"/>
      <c r="L42" s="1373"/>
      <c r="M42" s="1374"/>
      <c r="N42" s="1374"/>
      <c r="O42" s="1374"/>
      <c r="P42" s="1462"/>
      <c r="Q42" s="361"/>
      <c r="R42" s="362"/>
      <c r="S42" s="1466"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251</v>
      </c>
      <c r="B43" s="1372" t="s">
        <v>252</v>
      </c>
      <c r="C43" s="1372" t="s">
        <v>253</v>
      </c>
      <c r="D43" s="1372"/>
      <c r="E43" s="2287"/>
      <c r="F43" s="2287"/>
      <c r="G43" s="2286">
        <v>1</v>
      </c>
      <c r="H43" s="1372"/>
      <c r="I43" s="1372"/>
      <c r="J43" s="1372"/>
      <c r="K43" s="1372"/>
      <c r="L43" s="1373"/>
      <c r="M43" s="1374"/>
      <c r="N43" s="1374"/>
      <c r="O43" s="1374"/>
      <c r="P43" s="363"/>
      <c r="Q43" s="361"/>
      <c r="R43" s="362"/>
      <c r="S43" s="1466" t="str">
        <f>INDEX(PT_DIFFERENTIATION_NUM_CS,MATCH(C43,PT_DIFFERENTIATION_CS_ID,0))</f>
        <v>..</v>
      </c>
      <c r="T43" s="318" t="s">
        <v>494</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495</v>
      </c>
      <c r="AM43" s="509"/>
      <c r="AN43" s="509" t="str">
        <f>IF(T43="","",T43)</f>
        <v>Наименование централизованной системы холодного водоснабжения</v>
      </c>
      <c r="AO43" s="509"/>
      <c r="AP43" s="509"/>
      <c r="AQ43" s="1164">
        <v>23</v>
      </c>
    </row>
    <row customHeight="1" ht="24">
      <c r="A44" s="1372" t="s">
        <v>251</v>
      </c>
      <c r="B44" s="1372" t="s">
        <v>252</v>
      </c>
      <c r="C44" s="1372" t="s">
        <v>253</v>
      </c>
      <c r="D44" s="1372" t="s">
        <v>510</v>
      </c>
      <c r="E44" s="2287"/>
      <c r="F44" s="2287"/>
      <c r="G44" s="2287"/>
      <c r="H44" s="2287"/>
      <c r="I44" s="2284" t="str">
        <f>S43&amp;".1"</f>
        <v>...1</v>
      </c>
      <c r="J44" s="1372"/>
      <c r="K44" s="1372"/>
      <c r="L44" s="1373"/>
      <c r="P44" s="2285">
        <v>1</v>
      </c>
      <c r="Q44" s="1459"/>
      <c r="R44" s="365"/>
      <c r="S44" s="1466"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251</v>
      </c>
      <c r="B45" s="1372" t="s">
        <v>252</v>
      </c>
      <c r="C45" s="1372" t="s">
        <v>253</v>
      </c>
      <c r="D45" s="1372" t="s">
        <v>510</v>
      </c>
      <c r="E45" s="2287"/>
      <c r="F45" s="2287"/>
      <c r="G45" s="2287"/>
      <c r="H45" s="2287"/>
      <c r="I45" s="2314"/>
      <c r="J45" s="2284" t="str">
        <f>I44&amp;".1"</f>
        <v>...1.1</v>
      </c>
      <c r="K45" s="1372"/>
      <c r="L45" s="1373" t="s">
        <v>421</v>
      </c>
      <c r="P45" s="2285"/>
      <c r="Q45" s="2285">
        <v>1</v>
      </c>
      <c r="R45" s="366"/>
      <c r="S45" s="1466"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251</v>
      </c>
      <c r="B46" s="1372" t="s">
        <v>252</v>
      </c>
      <c r="C46" s="1372" t="s">
        <v>253</v>
      </c>
      <c r="D46" s="1372" t="s">
        <v>510</v>
      </c>
      <c r="E46" s="2287"/>
      <c r="F46" s="2287"/>
      <c r="G46" s="2287"/>
      <c r="H46" s="2287"/>
      <c r="I46" s="2314"/>
      <c r="J46" s="2314"/>
      <c r="K46" s="2284" t="str">
        <f>J45&amp;".1"</f>
        <v>...1.1.1</v>
      </c>
      <c r="L46" s="1373"/>
      <c r="P46" s="2285"/>
      <c r="Q46" s="2285"/>
      <c r="R46" s="366">
        <v>1</v>
      </c>
      <c r="S46" s="1466" t="str">
        <f>$K46</f>
        <v>...1.1.1</v>
      </c>
      <c r="T46" s="1446"/>
      <c r="U46" s="309"/>
      <c r="V46" s="760"/>
      <c r="W46" s="760"/>
      <c r="X46" s="1266"/>
      <c r="Y46" s="2293"/>
      <c r="Z46" s="2135" t="s">
        <v>63</v>
      </c>
      <c r="AA46" s="2293"/>
      <c r="AB46" s="2135" t="s">
        <v>63</v>
      </c>
      <c r="AC46" s="760"/>
      <c r="AD46" s="760"/>
      <c r="AE46" s="1266"/>
      <c r="AF46" s="2293"/>
      <c r="AG46" s="2135" t="s">
        <v>63</v>
      </c>
      <c r="AH46" s="2315"/>
      <c r="AI46" s="2135" t="s">
        <v>63</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251</v>
      </c>
      <c r="B47" s="1372" t="s">
        <v>252</v>
      </c>
      <c r="C47" s="1372" t="s">
        <v>253</v>
      </c>
      <c r="D47" s="1372" t="s">
        <v>510</v>
      </c>
      <c r="E47" s="2287"/>
      <c r="F47" s="2287"/>
      <c r="G47" s="2287"/>
      <c r="H47" s="2287"/>
      <c r="I47" s="2314"/>
      <c r="J47" s="2314"/>
      <c r="K47" s="2284"/>
      <c r="L47" s="1373"/>
      <c r="P47" s="2285"/>
      <c r="Q47" s="2285"/>
      <c r="R47" s="366"/>
      <c r="S47" s="1465"/>
      <c r="T47" s="309"/>
      <c r="U47" s="309"/>
      <c r="V47" s="334"/>
      <c r="W47" s="334"/>
      <c r="X47" s="337" t="str">
        <f>Y46&amp;"-"&amp;AA46</f>
        <v>-</v>
      </c>
      <c r="Y47" s="2294"/>
      <c r="Z47" s="2135"/>
      <c r="AA47" s="2294"/>
      <c r="AB47" s="2135"/>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251</v>
      </c>
      <c r="B48" s="1372" t="s">
        <v>252</v>
      </c>
      <c r="C48" s="1372" t="s">
        <v>253</v>
      </c>
      <c r="D48" s="1372" t="s">
        <v>510</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251</v>
      </c>
      <c r="B49" s="1372" t="s">
        <v>252</v>
      </c>
      <c r="C49" s="1372" t="s">
        <v>253</v>
      </c>
      <c r="D49" s="1372" t="s">
        <v>510</v>
      </c>
      <c r="E49" s="2287"/>
      <c r="F49" s="2287"/>
      <c r="G49" s="2287"/>
      <c r="H49" s="2287"/>
      <c r="I49" s="2284"/>
      <c r="J49" s="1372"/>
      <c r="K49" s="1372"/>
      <c r="L49" s="1373"/>
      <c r="P49" s="2285"/>
      <c r="Q49" s="1459"/>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251</v>
      </c>
      <c r="B50" s="1372" t="s">
        <v>252</v>
      </c>
      <c r="C50" s="1372" t="s">
        <v>253</v>
      </c>
      <c r="D50" s="1372" t="s">
        <v>510</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251</v>
      </c>
      <c r="B51" s="1352" t="s">
        <v>252</v>
      </c>
      <c r="C51" s="1323"/>
      <c r="D51" s="1323"/>
      <c r="E51" s="2287"/>
      <c r="F51" s="2286"/>
      <c r="G51" s="1323"/>
      <c r="H51" s="1323"/>
      <c r="I51" s="1323"/>
      <c r="J51" s="1323"/>
      <c r="K51" s="1323"/>
      <c r="L51" s="1467"/>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251</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657753-CCBE-15CD-307E-0.22E10D9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466">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62"/>
      <c r="Q3" s="361"/>
      <c r="R3" s="362"/>
      <c r="S3" s="1466">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466">
        <f>INDEX(PT_DIFFERENTIATION_NUM_CS,MATCH(C4,PT_DIFFERENTIATION_CS_ID,0))</f>
      </c>
      <c r="T4" s="318" t="s">
        <v>494</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495</v>
      </c>
      <c r="AM4" s="509"/>
      <c r="AN4" s="509" t="str">
        <f>IF(T4="","",T4)</f>
        <v>Наименование централизованной системы холодного водоснабжения</v>
      </c>
      <c r="AO4" s="509"/>
      <c r="AP4" s="509"/>
      <c r="AQ4" s="1164">
        <v>0</v>
      </c>
    </row>
    <row customHeight="1" ht="23.25" hidden="1">
      <c r="A5" s="1372"/>
      <c r="B5" s="1372"/>
      <c r="C5" s="1372"/>
      <c r="D5" s="1372"/>
      <c r="E5" s="2287"/>
      <c r="F5" s="2287"/>
      <c r="G5" s="2287"/>
      <c r="H5" s="2287"/>
      <c r="I5" s="2284">
        <f>S4&amp;".1"</f>
      </c>
      <c r="J5" s="1372"/>
      <c r="K5" s="1372"/>
      <c r="L5" s="1373"/>
      <c r="P5" s="2285">
        <v>1</v>
      </c>
      <c r="Q5" s="1459"/>
      <c r="R5" s="365"/>
      <c r="S5" s="1466">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466">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466">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65"/>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59"/>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467"/>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56"/>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56"/>
      <c r="M19" s="1371"/>
      <c r="N19" s="1371"/>
      <c r="O19" s="1371"/>
      <c r="P19" s="1371"/>
      <c r="Q19" s="1380"/>
      <c r="R19" s="1380"/>
      <c r="S19" s="738"/>
      <c r="AB19" s="1375"/>
      <c r="AI19" s="1375"/>
      <c r="AL19" s="520"/>
      <c r="AM19" s="520"/>
      <c r="AN19" s="520"/>
      <c r="AO19" s="520"/>
      <c r="AP19" s="520"/>
      <c r="AQ19" s="1169">
        <v>0</v>
      </c>
    </row>
    <row s="1375" customFormat="1" customHeight="1" ht="12" hidden="1">
      <c r="L20" s="1456"/>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63"/>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461" t="s">
        <v>502</v>
      </c>
      <c r="W38" s="2290" t="s">
        <v>446</v>
      </c>
      <c r="X38" s="2291"/>
      <c r="Y38" s="2290" t="s">
        <v>447</v>
      </c>
      <c r="Z38" s="2297"/>
      <c r="AA38" s="2291"/>
      <c r="AB38" s="2306"/>
      <c r="AC38" s="1461" t="s">
        <v>502</v>
      </c>
      <c r="AD38" s="2290" t="s">
        <v>446</v>
      </c>
      <c r="AE38" s="2291"/>
      <c r="AF38" s="2290" t="s">
        <v>447</v>
      </c>
      <c r="AG38" s="2297"/>
      <c r="AH38" s="2291"/>
      <c r="AI38" s="2306"/>
      <c r="AJ38" s="2309"/>
      <c r="AK38" s="2155"/>
      <c r="AQ38" s="1164">
        <v>34</v>
      </c>
    </row>
    <row customHeight="1" ht="35.699999999999996">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461" t="s">
        <v>505</v>
      </c>
      <c r="W39" s="1231" t="s">
        <v>506</v>
      </c>
      <c r="X39" s="1231" t="s">
        <v>507</v>
      </c>
      <c r="Y39" s="1464" t="s">
        <v>457</v>
      </c>
      <c r="Z39" s="2298" t="s">
        <v>458</v>
      </c>
      <c r="AA39" s="2299"/>
      <c r="AB39" s="2307"/>
      <c r="AC39" s="1461" t="s">
        <v>505</v>
      </c>
      <c r="AD39" s="1231" t="s">
        <v>506</v>
      </c>
      <c r="AE39" s="1231" t="s">
        <v>507</v>
      </c>
      <c r="AF39" s="1464" t="s">
        <v>457</v>
      </c>
      <c r="AG39" s="2298" t="s">
        <v>458</v>
      </c>
      <c r="AH39" s="2299"/>
      <c r="AI39" s="2307"/>
      <c r="AJ39" s="2310"/>
      <c r="AK39" s="2155"/>
      <c r="AQ39" s="1164">
        <v>34</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460">
        <f>OFFSET(V40,0,-1)+1</f>
        <v>3</v>
      </c>
      <c r="W40" s="1460">
        <f>OFFSET(W40,0,-1)+1</f>
        <v>4</v>
      </c>
      <c r="X40" s="1460">
        <f>OFFSET(X40,0,-1)+1</f>
        <v>5</v>
      </c>
      <c r="Y40" s="1460">
        <f>OFFSET(Y40,0,-1)+1</f>
        <v>6</v>
      </c>
      <c r="Z40" s="2300">
        <f>OFFSET(Z40,0,-1)+1</f>
        <v>7</v>
      </c>
      <c r="AA40" s="2300"/>
      <c r="AB40" s="1460">
        <f>OFFSET(AB40,0,-2)+1</f>
        <v>8</v>
      </c>
      <c r="AC40" s="1460">
        <f>OFFSET(AC40,0,-1)+1</f>
        <v>9</v>
      </c>
      <c r="AD40" s="1460">
        <f>OFFSET(AD40,0,-1)+1</f>
        <v>10</v>
      </c>
      <c r="AE40" s="1460">
        <f>OFFSET(AE40,0,-1)+1</f>
        <v>11</v>
      </c>
      <c r="AF40" s="1460">
        <f>OFFSET(AF40,0,-1)+1</f>
        <v>12</v>
      </c>
      <c r="AG40" s="2300">
        <f>OFFSET(AG40,0,-1)+1</f>
        <v>13</v>
      </c>
      <c r="AH40" s="2300"/>
      <c r="AI40" s="1460">
        <f>OFFSET(AI40,0,-2)+1</f>
        <v>14</v>
      </c>
      <c r="AJ40" s="1254">
        <f>OFFSET(AJ40,0,-1)</f>
        <v>14</v>
      </c>
      <c r="AK40" s="1460">
        <f>OFFSET(AK40,0,-1)+1</f>
        <v>15</v>
      </c>
      <c r="AL40" s="520"/>
      <c r="AM40" s="520"/>
      <c r="AN40" s="520"/>
      <c r="AO40" s="520"/>
      <c r="AP40" s="520"/>
      <c r="AQ40" s="505">
        <v>0</v>
      </c>
    </row>
    <row customHeight="1" ht="24">
      <c r="A41" s="1372" t="s">
        <v>256</v>
      </c>
      <c r="B41" s="1372"/>
      <c r="C41" s="1372"/>
      <c r="D41" s="1372"/>
      <c r="E41" s="2286">
        <v>1</v>
      </c>
      <c r="F41" s="1372"/>
      <c r="G41" s="1372"/>
      <c r="H41" s="1372"/>
      <c r="I41" s="1372"/>
      <c r="J41" s="1372"/>
      <c r="K41" s="1372"/>
      <c r="L41" s="1373"/>
      <c r="M41" s="1374"/>
      <c r="N41" s="1374"/>
      <c r="O41" s="1374"/>
      <c r="P41" s="370"/>
      <c r="Q41" s="369"/>
      <c r="R41" s="364"/>
      <c r="S41" s="1466">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256</v>
      </c>
      <c r="B42" s="1372" t="s">
        <v>257</v>
      </c>
      <c r="C42" s="1372"/>
      <c r="D42" s="1372"/>
      <c r="E42" s="2287"/>
      <c r="F42" s="2286">
        <v>1</v>
      </c>
      <c r="G42" s="1372"/>
      <c r="H42" s="1372"/>
      <c r="I42" s="1372"/>
      <c r="J42" s="1372"/>
      <c r="K42" s="1372"/>
      <c r="L42" s="1373"/>
      <c r="M42" s="1374"/>
      <c r="N42" s="1374"/>
      <c r="O42" s="1374"/>
      <c r="P42" s="1462"/>
      <c r="Q42" s="361"/>
      <c r="R42" s="362"/>
      <c r="S42" s="1466"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256</v>
      </c>
      <c r="B43" s="1372" t="s">
        <v>257</v>
      </c>
      <c r="C43" s="1372" t="s">
        <v>258</v>
      </c>
      <c r="D43" s="1372"/>
      <c r="E43" s="2287"/>
      <c r="F43" s="2287"/>
      <c r="G43" s="2286">
        <v>1</v>
      </c>
      <c r="H43" s="1372"/>
      <c r="I43" s="1372"/>
      <c r="J43" s="1372"/>
      <c r="K43" s="1372"/>
      <c r="L43" s="1373"/>
      <c r="M43" s="1374"/>
      <c r="N43" s="1374"/>
      <c r="O43" s="1374"/>
      <c r="P43" s="363"/>
      <c r="Q43" s="361"/>
      <c r="R43" s="362"/>
      <c r="S43" s="1466" t="str">
        <f>INDEX(PT_DIFFERENTIATION_NUM_CS,MATCH(C43,PT_DIFFERENTIATION_CS_ID,0))</f>
        <v>..</v>
      </c>
      <c r="T43" s="318" t="s">
        <v>494</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495</v>
      </c>
      <c r="AM43" s="509"/>
      <c r="AN43" s="509" t="str">
        <f>IF(T43="","",T43)</f>
        <v>Наименование централизованной системы холодного водоснабжения</v>
      </c>
      <c r="AO43" s="509"/>
      <c r="AP43" s="509"/>
      <c r="AQ43" s="1164">
        <v>23</v>
      </c>
    </row>
    <row customHeight="1" ht="24">
      <c r="A44" s="1372" t="s">
        <v>256</v>
      </c>
      <c r="B44" s="1372" t="s">
        <v>257</v>
      </c>
      <c r="C44" s="1372" t="s">
        <v>258</v>
      </c>
      <c r="D44" s="1372" t="s">
        <v>511</v>
      </c>
      <c r="E44" s="2287"/>
      <c r="F44" s="2287"/>
      <c r="G44" s="2287"/>
      <c r="H44" s="2287"/>
      <c r="I44" s="2284" t="str">
        <f>S43&amp;".1"</f>
        <v>...1</v>
      </c>
      <c r="J44" s="1372"/>
      <c r="K44" s="1372"/>
      <c r="L44" s="1373"/>
      <c r="P44" s="2285">
        <v>1</v>
      </c>
      <c r="Q44" s="1459"/>
      <c r="R44" s="365"/>
      <c r="S44" s="1466"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256</v>
      </c>
      <c r="B45" s="1372" t="s">
        <v>257</v>
      </c>
      <c r="C45" s="1372" t="s">
        <v>258</v>
      </c>
      <c r="D45" s="1372" t="s">
        <v>511</v>
      </c>
      <c r="E45" s="2287"/>
      <c r="F45" s="2287"/>
      <c r="G45" s="2287"/>
      <c r="H45" s="2287"/>
      <c r="I45" s="2314"/>
      <c r="J45" s="2284" t="str">
        <f>I44&amp;".1"</f>
        <v>...1.1</v>
      </c>
      <c r="K45" s="1372"/>
      <c r="L45" s="1373" t="s">
        <v>421</v>
      </c>
      <c r="P45" s="2285"/>
      <c r="Q45" s="2285">
        <v>1</v>
      </c>
      <c r="R45" s="366"/>
      <c r="S45" s="1466"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256</v>
      </c>
      <c r="B46" s="1372" t="s">
        <v>257</v>
      </c>
      <c r="C46" s="1372" t="s">
        <v>258</v>
      </c>
      <c r="D46" s="1372" t="s">
        <v>511</v>
      </c>
      <c r="E46" s="2287"/>
      <c r="F46" s="2287"/>
      <c r="G46" s="2287"/>
      <c r="H46" s="2287"/>
      <c r="I46" s="2314"/>
      <c r="J46" s="2314"/>
      <c r="K46" s="2284" t="str">
        <f>J45&amp;".1"</f>
        <v>...1.1.1</v>
      </c>
      <c r="L46" s="1373"/>
      <c r="P46" s="2285"/>
      <c r="Q46" s="2285"/>
      <c r="R46" s="366">
        <v>1</v>
      </c>
      <c r="S46" s="1466" t="str">
        <f>$K46</f>
        <v>...1.1.1</v>
      </c>
      <c r="T46" s="1446"/>
      <c r="U46" s="309"/>
      <c r="V46" s="760"/>
      <c r="W46" s="760"/>
      <c r="X46" s="1266"/>
      <c r="Y46" s="2293"/>
      <c r="Z46" s="2135" t="s">
        <v>63</v>
      </c>
      <c r="AA46" s="2293"/>
      <c r="AB46" s="2135" t="s">
        <v>63</v>
      </c>
      <c r="AC46" s="760"/>
      <c r="AD46" s="760"/>
      <c r="AE46" s="1266"/>
      <c r="AF46" s="2293"/>
      <c r="AG46" s="2135" t="s">
        <v>63</v>
      </c>
      <c r="AH46" s="2315"/>
      <c r="AI46" s="2135" t="s">
        <v>63</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256</v>
      </c>
      <c r="B47" s="1372" t="s">
        <v>257</v>
      </c>
      <c r="C47" s="1372" t="s">
        <v>258</v>
      </c>
      <c r="D47" s="1372" t="s">
        <v>511</v>
      </c>
      <c r="E47" s="2287"/>
      <c r="F47" s="2287"/>
      <c r="G47" s="2287"/>
      <c r="H47" s="2287"/>
      <c r="I47" s="2314"/>
      <c r="J47" s="2314"/>
      <c r="K47" s="2284"/>
      <c r="L47" s="1373"/>
      <c r="P47" s="2285"/>
      <c r="Q47" s="2285"/>
      <c r="R47" s="366"/>
      <c r="S47" s="1465"/>
      <c r="T47" s="309"/>
      <c r="U47" s="309"/>
      <c r="V47" s="334"/>
      <c r="W47" s="334"/>
      <c r="X47" s="337" t="str">
        <f>Y46&amp;"-"&amp;AA46</f>
        <v>-</v>
      </c>
      <c r="Y47" s="2294"/>
      <c r="Z47" s="2135"/>
      <c r="AA47" s="2294"/>
      <c r="AB47" s="2135"/>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256</v>
      </c>
      <c r="B48" s="1372" t="s">
        <v>257</v>
      </c>
      <c r="C48" s="1372" t="s">
        <v>258</v>
      </c>
      <c r="D48" s="1372" t="s">
        <v>511</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256</v>
      </c>
      <c r="B49" s="1372" t="s">
        <v>257</v>
      </c>
      <c r="C49" s="1372" t="s">
        <v>258</v>
      </c>
      <c r="D49" s="1372" t="s">
        <v>511</v>
      </c>
      <c r="E49" s="2287"/>
      <c r="F49" s="2287"/>
      <c r="G49" s="2287"/>
      <c r="H49" s="2287"/>
      <c r="I49" s="2284"/>
      <c r="J49" s="1372"/>
      <c r="K49" s="1372"/>
      <c r="L49" s="1373"/>
      <c r="P49" s="2285"/>
      <c r="Q49" s="1459"/>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256</v>
      </c>
      <c r="B50" s="1372" t="s">
        <v>257</v>
      </c>
      <c r="C50" s="1372" t="s">
        <v>258</v>
      </c>
      <c r="D50" s="1372" t="s">
        <v>511</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256</v>
      </c>
      <c r="B51" s="1352" t="s">
        <v>257</v>
      </c>
      <c r="C51" s="1323"/>
      <c r="D51" s="1323"/>
      <c r="E51" s="2287"/>
      <c r="F51" s="2286"/>
      <c r="G51" s="1323"/>
      <c r="H51" s="1323"/>
      <c r="I51" s="1323"/>
      <c r="J51" s="1323"/>
      <c r="K51" s="1323"/>
      <c r="L51" s="1467"/>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256</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467"/>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56">
        <v>0</v>
      </c>
      <c r="M58" s="1371">
        <v>0</v>
      </c>
      <c r="N58" s="1371">
        <v>0</v>
      </c>
      <c r="O58" s="1371">
        <v>0</v>
      </c>
      <c r="P58" s="1455">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2568AA-0EEA-0DD8-1256-0.7DCECD6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1784" width="3.7109375" hidden="1" customWidth="1"/>
    <col min="17" max="17" style="1380" width="3.7109375" hidden="1" customWidth="1"/>
    <col min="18" max="18" style="353" width="3.00390625" customWidth="1"/>
    <col min="19" max="19" style="2435"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86">
        <v>1</v>
      </c>
      <c r="F2" s="1372"/>
      <c r="G2" s="1372"/>
      <c r="H2" s="1372"/>
      <c r="I2" s="1372"/>
      <c r="J2" s="1372"/>
      <c r="K2" s="1372"/>
      <c r="L2" s="1373"/>
      <c r="M2" s="1374"/>
      <c r="N2" s="1374"/>
      <c r="O2" s="1374"/>
      <c r="P2" s="1418"/>
      <c r="Q2" s="882"/>
      <c r="R2" s="364"/>
      <c r="S2" s="1474">
        <f>INDEX(PT_DIFFERENTIATION_NUM_NTAR,MATCH(A2,PT_DIFFERENTIATION_NTAR_ID,0))</f>
      </c>
      <c r="T2" s="307" t="s">
        <v>140</v>
      </c>
      <c r="U2" s="309"/>
      <c r="V2" s="2271"/>
      <c r="W2" s="2271"/>
      <c r="X2" s="2271"/>
      <c r="Y2" s="2271"/>
      <c r="Z2" s="2271"/>
      <c r="AA2" s="2271"/>
      <c r="AB2" s="2271"/>
      <c r="AC2" s="2272"/>
      <c r="AD2" s="2270">
        <f>INDEX(PT_DIFFERENTIATION_NTAR,MATCH(A2,PT_DIFFERENTIATION_NTAR_ID,0))</f>
      </c>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2"/>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87"/>
      <c r="F3" s="2286">
        <v>1</v>
      </c>
      <c r="G3" s="1372"/>
      <c r="H3" s="1372"/>
      <c r="I3" s="1372"/>
      <c r="J3" s="1372"/>
      <c r="K3" s="1372"/>
      <c r="L3" s="1373"/>
      <c r="M3" s="1374"/>
      <c r="N3" s="1374"/>
      <c r="O3" s="1374"/>
      <c r="P3" s="1419"/>
      <c r="Q3" s="1420"/>
      <c r="R3" s="362"/>
      <c r="S3" s="1474">
        <f>INDEX(PT_DIFFERENTIATION_NUM_TER,MATCH(B3,PT_DIFFERENTIATION_TER_ID,0))</f>
      </c>
      <c r="T3" s="317" t="s">
        <v>412</v>
      </c>
      <c r="U3" s="309"/>
      <c r="V3" s="2271"/>
      <c r="W3" s="2271"/>
      <c r="X3" s="2271"/>
      <c r="Y3" s="2271"/>
      <c r="Z3" s="2271"/>
      <c r="AA3" s="2271"/>
      <c r="AB3" s="2271"/>
      <c r="AC3" s="2272"/>
      <c r="AD3" s="2270">
        <f>INDEX(PT_DIFFERENTIATION_TER,MATCH(B3,PT_DIFFERENTIATION_TER_ID,0))</f>
      </c>
      <c r="AE3" s="2271"/>
      <c r="AF3" s="2271"/>
      <c r="AG3" s="2271"/>
      <c r="AH3" s="2271"/>
      <c r="AI3" s="2271"/>
      <c r="AJ3" s="2271"/>
      <c r="AK3" s="2271"/>
      <c r="AL3" s="2271"/>
      <c r="AM3" s="2271"/>
      <c r="AN3" s="2271"/>
      <c r="AO3" s="2271"/>
      <c r="AP3" s="2271"/>
      <c r="AQ3" s="2271"/>
      <c r="AR3" s="2271"/>
      <c r="AS3" s="2271"/>
      <c r="AT3" s="2271"/>
      <c r="AU3" s="2271"/>
      <c r="AV3" s="2271"/>
      <c r="AW3" s="2271"/>
      <c r="AX3" s="2271"/>
      <c r="AY3" s="2271"/>
      <c r="AZ3" s="2271"/>
      <c r="BA3" s="2271"/>
      <c r="BB3" s="2272"/>
      <c r="BC3" s="1267" t="s">
        <v>413</v>
      </c>
      <c r="BE3" s="509"/>
      <c r="BF3" s="509" t="str">
        <f>IF(T3="","",T3)</f>
        <v>Территория действия тарифа</v>
      </c>
      <c r="BG3" s="509"/>
      <c r="BH3" s="509"/>
      <c r="BI3" s="1164">
        <v>0</v>
      </c>
    </row>
    <row customHeight="1" ht="42" hidden="1">
      <c r="A4" s="1372"/>
      <c r="B4" s="1372"/>
      <c r="C4" s="1372"/>
      <c r="D4" s="1372"/>
      <c r="E4" s="2287"/>
      <c r="F4" s="2287"/>
      <c r="G4" s="2286">
        <v>1</v>
      </c>
      <c r="H4" s="1372"/>
      <c r="I4" s="1372"/>
      <c r="J4" s="1372"/>
      <c r="K4" s="1372"/>
      <c r="L4" s="1373"/>
      <c r="M4" s="1374"/>
      <c r="N4" s="1374"/>
      <c r="O4" s="1374"/>
      <c r="P4" s="1421"/>
      <c r="Q4" s="1420"/>
      <c r="R4" s="362"/>
      <c r="S4" s="1474">
        <f>INDEX(PT_DIFFERENTIATION_NUM_CS,MATCH(C4,PT_DIFFERENTIATION_CS_ID,0))</f>
      </c>
      <c r="T4" s="318" t="s">
        <v>494</v>
      </c>
      <c r="U4" s="309"/>
      <c r="V4" s="2271"/>
      <c r="W4" s="2271"/>
      <c r="X4" s="2271"/>
      <c r="Y4" s="2271"/>
      <c r="Z4" s="2271"/>
      <c r="AA4" s="2271"/>
      <c r="AB4" s="2271"/>
      <c r="AC4" s="2272"/>
      <c r="AD4" s="2270">
        <f>INDEX(PT_DIFFERENTIATION_CS,MATCH(C4,PT_DIFFERENTIATION_CS_ID,0))</f>
      </c>
      <c r="AE4" s="2271"/>
      <c r="AF4" s="2271"/>
      <c r="AG4" s="2271"/>
      <c r="AH4" s="2271"/>
      <c r="AI4" s="2271"/>
      <c r="AJ4" s="2271"/>
      <c r="AK4" s="2271"/>
      <c r="AL4" s="2271"/>
      <c r="AM4" s="2271"/>
      <c r="AN4" s="2271"/>
      <c r="AO4" s="2271"/>
      <c r="AP4" s="2271"/>
      <c r="AQ4" s="2271"/>
      <c r="AR4" s="2271"/>
      <c r="AS4" s="2271"/>
      <c r="AT4" s="2271"/>
      <c r="AU4" s="2271"/>
      <c r="AV4" s="2271"/>
      <c r="AW4" s="2271"/>
      <c r="AX4" s="2271"/>
      <c r="AY4" s="2271"/>
      <c r="AZ4" s="2271"/>
      <c r="BA4" s="2271"/>
      <c r="BB4" s="2272"/>
      <c r="BC4" s="1267" t="s">
        <v>495</v>
      </c>
      <c r="BE4" s="509"/>
      <c r="BF4" s="509" t="str">
        <f>IF(T4="","",T4)</f>
        <v>Наименование централизованной системы холодного водоснабжения</v>
      </c>
      <c r="BG4" s="509"/>
      <c r="BH4" s="509"/>
      <c r="BI4" s="1164">
        <v>0</v>
      </c>
    </row>
    <row s="1651" customFormat="1" customHeight="1" ht="14.25" hidden="1">
      <c r="A5" s="1352"/>
      <c r="B5" s="1352"/>
      <c r="C5" s="1352"/>
      <c r="D5" s="1352"/>
      <c r="E5" s="2287"/>
      <c r="F5" s="2287"/>
      <c r="G5" s="2287"/>
      <c r="H5" s="2286">
        <v>1</v>
      </c>
      <c r="I5" s="1352"/>
      <c r="J5" s="1352"/>
      <c r="K5" s="1352"/>
      <c r="L5" s="1355"/>
      <c r="M5" s="1324"/>
      <c r="N5" s="1324"/>
      <c r="O5" s="1324"/>
      <c r="P5" s="1506"/>
      <c r="Q5" s="1507"/>
      <c r="R5" s="366"/>
      <c r="S5" s="1051"/>
      <c r="T5" s="1508"/>
      <c r="U5" s="1393"/>
      <c r="V5" s="2325"/>
      <c r="W5" s="2325"/>
      <c r="X5" s="2325"/>
      <c r="Y5" s="2325"/>
      <c r="Z5" s="2325"/>
      <c r="AA5" s="2325"/>
      <c r="AB5" s="2325"/>
      <c r="AC5" s="2326"/>
      <c r="AD5" s="2324"/>
      <c r="AE5" s="2325"/>
      <c r="AF5" s="2325"/>
      <c r="AG5" s="2325"/>
      <c r="AH5" s="2325"/>
      <c r="AI5" s="2325"/>
      <c r="AJ5" s="2325"/>
      <c r="AK5" s="2325"/>
      <c r="AL5" s="2325"/>
      <c r="AM5" s="2325"/>
      <c r="AN5" s="2325"/>
      <c r="AO5" s="2325"/>
      <c r="AP5" s="2325"/>
      <c r="AQ5" s="2325"/>
      <c r="AR5" s="2325"/>
      <c r="AS5" s="2325"/>
      <c r="AT5" s="2325"/>
      <c r="AU5" s="2325"/>
      <c r="AV5" s="2325"/>
      <c r="AW5" s="2325"/>
      <c r="AX5" s="2325"/>
      <c r="AY5" s="2325"/>
      <c r="AZ5" s="2325"/>
      <c r="BA5" s="2325"/>
      <c r="BB5" s="2326"/>
      <c r="BC5" s="1394" t="s">
        <v>417</v>
      </c>
      <c r="BE5" s="509"/>
      <c r="BF5" s="509" t="str">
        <f>IF(T5="","",T5)</f>
        <v/>
      </c>
      <c r="BG5" s="509"/>
      <c r="BH5" s="509"/>
      <c r="BI5" s="520">
        <v>0</v>
      </c>
    </row>
    <row s="1651" customFormat="1" customHeight="1" ht="14.25" hidden="1">
      <c r="A6" s="1352"/>
      <c r="B6" s="1352"/>
      <c r="C6" s="1352"/>
      <c r="D6" s="1352"/>
      <c r="E6" s="2287"/>
      <c r="F6" s="2287"/>
      <c r="G6" s="2287"/>
      <c r="H6" s="2287"/>
      <c r="I6" s="2284" t="str">
        <f>S5&amp;".1"</f>
        <v>.1</v>
      </c>
      <c r="J6" s="1352"/>
      <c r="K6" s="1352"/>
      <c r="L6" s="1355" t="s">
        <v>418</v>
      </c>
      <c r="M6" s="519"/>
      <c r="N6" s="519"/>
      <c r="O6" s="519"/>
      <c r="P6" s="2285">
        <v>1</v>
      </c>
      <c r="Q6" s="1471"/>
      <c r="R6" s="365"/>
      <c r="S6" s="1051"/>
      <c r="T6" s="1392"/>
      <c r="U6" s="1393"/>
      <c r="V6" s="2325"/>
      <c r="W6" s="2325"/>
      <c r="X6" s="2325"/>
      <c r="Y6" s="2325"/>
      <c r="Z6" s="2325"/>
      <c r="AA6" s="2325"/>
      <c r="AB6" s="2325"/>
      <c r="AC6" s="2326"/>
      <c r="AD6" s="2324"/>
      <c r="AE6" s="2325"/>
      <c r="AF6" s="2325"/>
      <c r="AG6" s="2325"/>
      <c r="AH6" s="2325"/>
      <c r="AI6" s="2325"/>
      <c r="AJ6" s="2325"/>
      <c r="AK6" s="2325"/>
      <c r="AL6" s="2325"/>
      <c r="AM6" s="2325"/>
      <c r="AN6" s="2325"/>
      <c r="AO6" s="2325"/>
      <c r="AP6" s="2325"/>
      <c r="AQ6" s="2325"/>
      <c r="AR6" s="2325"/>
      <c r="AS6" s="2325"/>
      <c r="AT6" s="2325"/>
      <c r="AU6" s="2325"/>
      <c r="AV6" s="2325"/>
      <c r="AW6" s="2325"/>
      <c r="AX6" s="2325"/>
      <c r="AY6" s="2325"/>
      <c r="AZ6" s="2325"/>
      <c r="BA6" s="2325"/>
      <c r="BB6" s="2326"/>
      <c r="BC6" s="1394"/>
      <c r="BE6" s="509"/>
      <c r="BF6" s="509" t="str">
        <f>IF(T6="","",T6)</f>
        <v/>
      </c>
      <c r="BG6" s="509"/>
      <c r="BH6" s="509"/>
      <c r="BI6" s="520">
        <v>0</v>
      </c>
    </row>
    <row s="1651" customFormat="1" customHeight="1" ht="14.25" hidden="1">
      <c r="A7" s="1352"/>
      <c r="B7" s="1352"/>
      <c r="C7" s="1352"/>
      <c r="D7" s="1352"/>
      <c r="E7" s="2287"/>
      <c r="F7" s="2287"/>
      <c r="G7" s="2287"/>
      <c r="H7" s="2287"/>
      <c r="I7" s="2314"/>
      <c r="J7" s="2284" t="str">
        <f>S5&amp;".1"</f>
        <v>.1</v>
      </c>
      <c r="K7" s="1352"/>
      <c r="L7" s="1355"/>
      <c r="M7" s="519"/>
      <c r="N7" s="519"/>
      <c r="O7" s="519"/>
      <c r="P7" s="2285"/>
      <c r="Q7" s="2285">
        <v>1</v>
      </c>
      <c r="R7" s="366"/>
      <c r="S7" s="1051"/>
      <c r="T7" s="1408"/>
      <c r="U7" s="1393"/>
      <c r="V7" s="2325"/>
      <c r="W7" s="2325"/>
      <c r="X7" s="2325"/>
      <c r="Y7" s="2325"/>
      <c r="Z7" s="2325"/>
      <c r="AA7" s="2325"/>
      <c r="AB7" s="2325"/>
      <c r="AC7" s="2326"/>
      <c r="AD7" s="2324"/>
      <c r="AE7" s="2325"/>
      <c r="AF7" s="2325"/>
      <c r="AG7" s="2325"/>
      <c r="AH7" s="2325"/>
      <c r="AI7" s="2325"/>
      <c r="AJ7" s="2325"/>
      <c r="AK7" s="2325"/>
      <c r="AL7" s="2325"/>
      <c r="AM7" s="2325"/>
      <c r="AN7" s="2325"/>
      <c r="AO7" s="2325"/>
      <c r="AP7" s="2325"/>
      <c r="AQ7" s="2325"/>
      <c r="AR7" s="2325"/>
      <c r="AS7" s="2325"/>
      <c r="AT7" s="2325"/>
      <c r="AU7" s="2325"/>
      <c r="AV7" s="2325"/>
      <c r="AW7" s="2325"/>
      <c r="AX7" s="2325"/>
      <c r="AY7" s="2325"/>
      <c r="AZ7" s="2325"/>
      <c r="BA7" s="2325"/>
      <c r="BB7" s="2326"/>
      <c r="BC7" s="1394"/>
      <c r="BE7" s="509"/>
      <c r="BF7" s="509" t="str">
        <f>IF(T7="","",T7)</f>
        <v/>
      </c>
      <c r="BG7" s="509"/>
      <c r="BH7" s="509"/>
      <c r="BI7" s="520">
        <v>0</v>
      </c>
    </row>
    <row customHeight="1" ht="11.25" hidden="1">
      <c r="A8" s="1372"/>
      <c r="B8" s="1372"/>
      <c r="C8" s="1372"/>
      <c r="D8" s="1372"/>
      <c r="E8" s="2287"/>
      <c r="F8" s="2287"/>
      <c r="G8" s="2287"/>
      <c r="H8" s="2287"/>
      <c r="I8" s="2314"/>
      <c r="J8" s="2314"/>
      <c r="K8" s="2284">
        <f>S4&amp;".1"</f>
      </c>
      <c r="L8" s="1373"/>
      <c r="P8" s="2285"/>
      <c r="Q8" s="2285"/>
      <c r="R8" s="2375">
        <v>1</v>
      </c>
      <c r="S8" s="2369">
        <f>$K8</f>
      </c>
      <c r="T8" s="2388"/>
      <c r="U8" s="309"/>
      <c r="V8" s="760"/>
      <c r="W8" s="1266"/>
      <c r="X8" s="760"/>
      <c r="Y8" s="1266"/>
      <c r="Z8" s="1742"/>
      <c r="AA8" s="1468" t="s">
        <v>63</v>
      </c>
      <c r="AB8" s="1742"/>
      <c r="AC8" s="1468" t="s">
        <v>63</v>
      </c>
      <c r="AD8" s="2213" t="s">
        <v>63</v>
      </c>
      <c r="AE8" s="2354"/>
      <c r="AF8" s="2233">
        <v>1</v>
      </c>
      <c r="AG8" s="2391"/>
      <c r="AH8" s="2135" t="s">
        <v>63</v>
      </c>
      <c r="AI8" s="2354"/>
      <c r="AJ8" s="2233">
        <v>1</v>
      </c>
      <c r="AK8" s="2355" t="s">
        <v>22</v>
      </c>
      <c r="AL8" s="2135" t="s">
        <v>63</v>
      </c>
      <c r="AM8" s="2220"/>
      <c r="AN8" s="2233">
        <v>1</v>
      </c>
      <c r="AO8" s="2385"/>
      <c r="AP8" s="2386" t="s">
        <v>63</v>
      </c>
      <c r="AQ8" s="320"/>
      <c r="AR8" s="1472">
        <v>1</v>
      </c>
      <c r="AS8" s="1475" t="s">
        <v>22</v>
      </c>
      <c r="AT8" s="760"/>
      <c r="AU8" s="1266"/>
      <c r="AV8" s="760"/>
      <c r="AW8" s="1266"/>
      <c r="AX8" s="1742"/>
      <c r="AY8" s="1468" t="s">
        <v>63</v>
      </c>
      <c r="AZ8" s="1742"/>
      <c r="BA8" s="1468" t="s">
        <v>63</v>
      </c>
      <c r="BB8" s="1357"/>
      <c r="BC8" s="2281" t="s">
        <v>512</v>
      </c>
      <c r="BE8" s="509"/>
      <c r="BF8" s="509" t="str">
        <f>IF(T8="","",T8)</f>
        <v/>
      </c>
      <c r="BG8" s="509"/>
      <c r="BH8" s="509"/>
      <c r="BI8" s="1164">
        <v>0</v>
      </c>
    </row>
    <row customHeight="1" ht="11.25" hidden="1">
      <c r="A9" s="1372"/>
      <c r="B9" s="1372"/>
      <c r="C9" s="1372"/>
      <c r="D9" s="1372"/>
      <c r="E9" s="2287"/>
      <c r="F9" s="2287"/>
      <c r="G9" s="2287"/>
      <c r="H9" s="2287"/>
      <c r="I9" s="2314"/>
      <c r="J9" s="2314"/>
      <c r="K9" s="2284"/>
      <c r="L9" s="1373"/>
      <c r="P9" s="2285"/>
      <c r="Q9" s="2285"/>
      <c r="R9" s="2375"/>
      <c r="S9" s="2370"/>
      <c r="T9" s="2389"/>
      <c r="U9" s="309"/>
      <c r="V9" s="1402"/>
      <c r="W9" s="1505"/>
      <c r="X9" s="1402"/>
      <c r="Y9" s="1505"/>
      <c r="Z9" s="1402"/>
      <c r="AA9" s="1402"/>
      <c r="AB9" s="1402"/>
      <c r="AC9" s="1402"/>
      <c r="AD9" s="2214"/>
      <c r="AE9" s="2354"/>
      <c r="AF9" s="2233"/>
      <c r="AG9" s="2391"/>
      <c r="AH9" s="2135"/>
      <c r="AI9" s="2354"/>
      <c r="AJ9" s="2233"/>
      <c r="AK9" s="2355"/>
      <c r="AL9" s="2135"/>
      <c r="AM9" s="2228"/>
      <c r="AN9" s="2233"/>
      <c r="AO9" s="2385"/>
      <c r="AP9" s="2387"/>
      <c r="AQ9" s="325"/>
      <c r="AR9" s="425"/>
      <c r="AS9" s="425" t="s">
        <v>513</v>
      </c>
      <c r="AT9" s="1402"/>
      <c r="AU9" s="1505"/>
      <c r="AV9" s="1402"/>
      <c r="AW9" s="1505"/>
      <c r="AX9" s="1402"/>
      <c r="AY9" s="1402"/>
      <c r="AZ9" s="1402"/>
      <c r="BA9" s="1402"/>
      <c r="BB9" s="1406"/>
      <c r="BC9" s="2282"/>
      <c r="BE9" s="509"/>
      <c r="BF9" s="509"/>
      <c r="BG9" s="509"/>
      <c r="BH9" s="509"/>
      <c r="BI9" s="1164">
        <v>0</v>
      </c>
    </row>
    <row customHeight="1" ht="11.25" hidden="1">
      <c r="A10" s="1372"/>
      <c r="B10" s="1372"/>
      <c r="C10" s="1372"/>
      <c r="D10" s="1372"/>
      <c r="E10" s="2287"/>
      <c r="F10" s="2287"/>
      <c r="G10" s="2287"/>
      <c r="H10" s="2287"/>
      <c r="I10" s="2314"/>
      <c r="J10" s="2314"/>
      <c r="K10" s="2284"/>
      <c r="L10" s="1373"/>
      <c r="P10" s="2285"/>
      <c r="Q10" s="2285"/>
      <c r="R10" s="2375"/>
      <c r="S10" s="2370"/>
      <c r="T10" s="2389"/>
      <c r="U10" s="309"/>
      <c r="V10" s="1402"/>
      <c r="W10" s="1505"/>
      <c r="X10" s="1402"/>
      <c r="Y10" s="1505"/>
      <c r="Z10" s="1402"/>
      <c r="AA10" s="1402"/>
      <c r="AB10" s="1402"/>
      <c r="AC10" s="1402"/>
      <c r="AD10" s="2214"/>
      <c r="AE10" s="2354"/>
      <c r="AF10" s="2233"/>
      <c r="AG10" s="2391"/>
      <c r="AH10" s="2135"/>
      <c r="AI10" s="2354"/>
      <c r="AJ10" s="2233"/>
      <c r="AK10" s="2355"/>
      <c r="AL10" s="2135"/>
      <c r="AM10" s="325"/>
      <c r="AN10" s="1509"/>
      <c r="AO10" s="1509" t="s">
        <v>514</v>
      </c>
      <c r="AP10" s="425"/>
      <c r="AQ10" s="425"/>
      <c r="AR10" s="425"/>
      <c r="AS10" s="1402"/>
      <c r="AT10" s="1402"/>
      <c r="AU10" s="1505"/>
      <c r="AV10" s="1402"/>
      <c r="AW10" s="1505"/>
      <c r="AX10" s="1402"/>
      <c r="AY10" s="1402"/>
      <c r="AZ10" s="1402"/>
      <c r="BA10" s="1402"/>
      <c r="BB10" s="1406"/>
      <c r="BC10" s="2282"/>
      <c r="BE10" s="509"/>
      <c r="BF10" s="509"/>
      <c r="BG10" s="509"/>
      <c r="BH10" s="509"/>
      <c r="BI10" s="1164">
        <v>0</v>
      </c>
    </row>
    <row customHeight="1" ht="11.25" hidden="1">
      <c r="A11" s="1372"/>
      <c r="B11" s="1372"/>
      <c r="C11" s="1372"/>
      <c r="D11" s="1372"/>
      <c r="E11" s="2287"/>
      <c r="F11" s="2287"/>
      <c r="G11" s="2287"/>
      <c r="H11" s="2287"/>
      <c r="I11" s="2314"/>
      <c r="J11" s="2314"/>
      <c r="K11" s="2284"/>
      <c r="L11" s="1373"/>
      <c r="P11" s="2285"/>
      <c r="Q11" s="2285"/>
      <c r="R11" s="2375"/>
      <c r="S11" s="2370"/>
      <c r="T11" s="2389"/>
      <c r="U11" s="309"/>
      <c r="V11" s="1402"/>
      <c r="W11" s="1505"/>
      <c r="X11" s="1402"/>
      <c r="Y11" s="1505"/>
      <c r="Z11" s="1402"/>
      <c r="AA11" s="1402"/>
      <c r="AB11" s="1402"/>
      <c r="AC11" s="1402"/>
      <c r="AD11" s="2214"/>
      <c r="AE11" s="2354"/>
      <c r="AF11" s="2233"/>
      <c r="AG11" s="2391"/>
      <c r="AH11" s="2135"/>
      <c r="AI11" s="303"/>
      <c r="AJ11" s="424"/>
      <c r="AK11" s="322" t="s">
        <v>515</v>
      </c>
      <c r="AL11" s="1402"/>
      <c r="AM11" s="1402"/>
      <c r="AN11" s="1402"/>
      <c r="AO11" s="1402"/>
      <c r="AP11" s="1402"/>
      <c r="AQ11" s="1402"/>
      <c r="AR11" s="1402"/>
      <c r="AS11" s="1402"/>
      <c r="AT11" s="1402"/>
      <c r="AU11" s="1505"/>
      <c r="AV11" s="1402"/>
      <c r="AW11" s="1505"/>
      <c r="AX11" s="1402"/>
      <c r="AY11" s="1402"/>
      <c r="AZ11" s="1402"/>
      <c r="BA11" s="1402"/>
      <c r="BB11" s="1406"/>
      <c r="BC11" s="2282"/>
      <c r="BE11" s="509"/>
      <c r="BF11" s="509"/>
      <c r="BG11" s="509"/>
      <c r="BH11" s="509"/>
      <c r="BI11" s="1164">
        <v>0</v>
      </c>
    </row>
    <row customHeight="1" ht="11.25" hidden="1">
      <c r="A12" s="1372"/>
      <c r="B12" s="1372"/>
      <c r="C12" s="1372"/>
      <c r="D12" s="1372"/>
      <c r="E12" s="2287"/>
      <c r="F12" s="2287"/>
      <c r="G12" s="2287"/>
      <c r="H12" s="2287"/>
      <c r="I12" s="2314"/>
      <c r="J12" s="2314"/>
      <c r="K12" s="2284"/>
      <c r="L12" s="1373"/>
      <c r="P12" s="2285"/>
      <c r="Q12" s="2285"/>
      <c r="R12" s="2375"/>
      <c r="S12" s="2371"/>
      <c r="T12" s="2390"/>
      <c r="U12" s="309"/>
      <c r="V12" s="1402"/>
      <c r="W12" s="1403" t="str">
        <f>Z8&amp;"-"&amp;AB8</f>
        <v>-</v>
      </c>
      <c r="X12" s="1402"/>
      <c r="Y12" s="1403" t="str">
        <f>AB8&amp;"-"&amp;AD8</f>
        <v>-да</v>
      </c>
      <c r="Z12" s="1402"/>
      <c r="AA12" s="1402"/>
      <c r="AB12" s="1402"/>
      <c r="AC12" s="1402"/>
      <c r="AD12" s="2140"/>
      <c r="AE12" s="321"/>
      <c r="AF12" s="323"/>
      <c r="AG12" s="425" t="s">
        <v>516</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82"/>
      <c r="BE12" s="509"/>
      <c r="BF12" s="509" t="str">
        <f>IF(T12="","",T12)</f>
        <v/>
      </c>
      <c r="BG12" s="509"/>
      <c r="BH12" s="509"/>
      <c r="BI12" s="1164">
        <v>0</v>
      </c>
    </row>
    <row customHeight="1" ht="11.25" hidden="1">
      <c r="A13" s="1372"/>
      <c r="B13" s="1372"/>
      <c r="C13" s="1372"/>
      <c r="D13" s="1372"/>
      <c r="E13" s="2287"/>
      <c r="F13" s="2287"/>
      <c r="G13" s="2287"/>
      <c r="H13" s="2287"/>
      <c r="I13" s="2314"/>
      <c r="J13" s="2284"/>
      <c r="K13" s="1372"/>
      <c r="L13" s="1373"/>
      <c r="P13" s="2285"/>
      <c r="Q13" s="2285"/>
      <c r="R13" s="365"/>
      <c r="S13" s="1287"/>
      <c r="T13" s="296" t="s">
        <v>479</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83"/>
      <c r="BE13" s="509"/>
      <c r="BF13" s="509" t="str">
        <f>IF(T13="","",T13)</f>
        <v>Добавить строку</v>
      </c>
      <c r="BG13" s="509"/>
      <c r="BH13" s="509"/>
      <c r="BI13" s="1164">
        <v>0</v>
      </c>
    </row>
    <row s="1651" customFormat="1" customHeight="1" ht="14.25" hidden="1">
      <c r="A14" s="1352"/>
      <c r="B14" s="1352"/>
      <c r="C14" s="1352"/>
      <c r="D14" s="1352"/>
      <c r="E14" s="2287"/>
      <c r="F14" s="2287"/>
      <c r="G14" s="2287"/>
      <c r="H14" s="2287"/>
      <c r="I14" s="2284"/>
      <c r="J14" s="1352"/>
      <c r="K14" s="1352"/>
      <c r="L14" s="1355"/>
      <c r="M14" s="519"/>
      <c r="N14" s="519"/>
      <c r="O14" s="519"/>
      <c r="P14" s="2285"/>
      <c r="Q14" s="1471"/>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87"/>
      <c r="F15" s="2287"/>
      <c r="G15" s="2287"/>
      <c r="H15" s="2286"/>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87"/>
      <c r="F16" s="2287"/>
      <c r="G16" s="2286"/>
      <c r="H16" s="1323"/>
      <c r="I16" s="1323"/>
      <c r="J16" s="1323"/>
      <c r="K16" s="1323"/>
      <c r="L16" s="147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87"/>
      <c r="F17" s="2286"/>
      <c r="G17" s="1323"/>
      <c r="H17" s="1323"/>
      <c r="I17" s="1323"/>
      <c r="J17" s="1323"/>
      <c r="K17" s="1323"/>
      <c r="L17" s="1473"/>
      <c r="M17" s="1330"/>
      <c r="N17" s="1330"/>
      <c r="P17" s="1325"/>
      <c r="Q17" s="1326"/>
      <c r="R17" s="1325"/>
      <c r="S17" s="1331"/>
      <c r="T17" s="1334" t="s">
        <v>430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86"/>
      <c r="F18" s="1352"/>
      <c r="G18" s="1352"/>
      <c r="H18" s="1352"/>
      <c r="I18" s="1352"/>
      <c r="J18" s="1352"/>
      <c r="K18" s="1352"/>
      <c r="L18" s="1355"/>
      <c r="M18" s="1330"/>
      <c r="N18" s="1330"/>
      <c r="O18" s="527"/>
      <c r="P18" s="389"/>
      <c r="Q18" s="1353"/>
      <c r="R18" s="389"/>
      <c r="S18" s="1331"/>
      <c r="T18" s="1334" t="s">
        <v>431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4"/>
      <c r="AY20" s="1469" t="s">
        <v>63</v>
      </c>
      <c r="AZ20" s="1744"/>
      <c r="BA20" s="1469" t="s">
        <v>63</v>
      </c>
      <c r="BI20" s="1164">
        <v>0</v>
      </c>
    </row>
    <row customHeight="1" ht="14.25" hidden="1">
      <c r="BD21" s="505"/>
      <c r="BE21" s="505"/>
      <c r="BF21" s="505"/>
      <c r="BG21" s="505"/>
      <c r="BH21" s="505"/>
      <c r="BI21" s="1164">
        <v>0</v>
      </c>
    </row>
    <row customHeight="1" ht="14.25" hidden="1">
      <c r="O22" s="1376" t="s">
        <v>432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433</v>
      </c>
      <c r="P24" s="1517"/>
      <c r="Q24" s="1519"/>
      <c r="R24" s="1519"/>
      <c r="AA24" s="1516" t="s">
        <v>435</v>
      </c>
      <c r="AC24" s="1516" t="s">
        <v>436</v>
      </c>
      <c r="AD24" s="1516" t="s">
        <v>480</v>
      </c>
      <c r="AH24" s="1516" t="s">
        <v>480</v>
      </c>
      <c r="AK24" s="1516" t="s">
        <v>517</v>
      </c>
      <c r="AL24" s="1516" t="s">
        <v>480</v>
      </c>
      <c r="AP24" s="1516" t="s">
        <v>480</v>
      </c>
      <c r="AY24" s="1516" t="s">
        <v>435</v>
      </c>
      <c r="BA24" s="1516" t="s">
        <v>436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7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252"/>
      <c r="BI28" s="1164">
        <v>14</v>
      </c>
    </row>
    <row customHeight="1" ht="14.699999999999998">
      <c r="Q29" s="300"/>
      <c r="R29" s="385"/>
      <c r="S29" s="2277" t="str">
        <f>IF(org=0,"Не определено",org)</f>
        <v>АО "ДГК"</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59" customFormat="1" customHeight="1" ht="25.5" hidden="1">
      <c r="A31" s="1377"/>
      <c r="B31" s="1377"/>
      <c r="C31" s="1377"/>
      <c r="D31" s="1377"/>
      <c r="E31" s="1377"/>
      <c r="F31" s="1377"/>
      <c r="G31" s="1377"/>
      <c r="H31" s="1377"/>
      <c r="I31" s="1377"/>
      <c r="J31" s="1377"/>
      <c r="K31" s="1377"/>
      <c r="L31" s="1378"/>
      <c r="M31" s="1377"/>
      <c r="N31" s="1377"/>
      <c r="O31" s="1377"/>
      <c r="P31" s="1377"/>
      <c r="Q31" s="1377"/>
      <c r="S31" s="2278" t="s">
        <v>42</v>
      </c>
      <c r="T31" s="2278"/>
      <c r="U31" s="1381"/>
      <c r="V31" s="2279" t="str">
        <f>IF(TITLE_NAME_OR_PR_CHANGE="",IF(TITLE_NAME_OR_PR="","",TITLE_NAME_OR_PR),TITLE_NAME_OR_PR_CHANGE)</f>
        <v/>
      </c>
      <c r="W31" s="2279"/>
      <c r="X31" s="2279"/>
      <c r="Y31" s="2279"/>
      <c r="Z31" s="2279"/>
      <c r="AA31" s="2279"/>
      <c r="AB31" s="2279"/>
      <c r="AC31" s="335"/>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335"/>
      <c r="BB31" s="335"/>
      <c r="BC31" s="289"/>
      <c r="BD31" s="377"/>
      <c r="BE31" s="377"/>
      <c r="BF31" s="377"/>
      <c r="BG31" s="377"/>
      <c r="BH31" s="377"/>
      <c r="BI31" s="427">
        <v>0</v>
      </c>
    </row>
    <row s="1859" customFormat="1" customHeight="1" ht="18.75" hidden="1">
      <c r="A32" s="1377"/>
      <c r="B32" s="1377"/>
      <c r="C32" s="1377"/>
      <c r="D32" s="1377"/>
      <c r="E32" s="1377"/>
      <c r="F32" s="1377"/>
      <c r="G32" s="1377"/>
      <c r="H32" s="1377"/>
      <c r="I32" s="1377"/>
      <c r="J32" s="1377"/>
      <c r="K32" s="1377"/>
      <c r="L32" s="1378"/>
      <c r="M32" s="1377"/>
      <c r="N32" s="1377"/>
      <c r="O32" s="1377"/>
      <c r="P32" s="1377"/>
      <c r="Q32" s="1377"/>
      <c r="S32" s="2278" t="s">
        <v>518</v>
      </c>
      <c r="T32" s="2278"/>
      <c r="U32" s="1381"/>
      <c r="V32" s="2292" t="str">
        <f>IF(TITLE_DATE_PR_CHANGE="",IF(TITLE_DATE_PR="","",TITLE_DATE_PR),TITLE_DATE_PR_CHANGE)</f>
        <v/>
      </c>
      <c r="W32" s="2292"/>
      <c r="X32" s="2292"/>
      <c r="Y32" s="2292"/>
      <c r="Z32" s="2292"/>
      <c r="AA32" s="2292"/>
      <c r="AB32" s="2292"/>
      <c r="AC32" s="335"/>
      <c r="AD32" s="2292" t="str">
        <f>IF(TITLE_DATE_PR_CHANGE="",IF(TITLE_DATE_PR="","",TITLE_DATE_PR),TITLE_DATE_PR_CHANGE)</f>
        <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335"/>
      <c r="BB32" s="335"/>
      <c r="BC32" s="289"/>
      <c r="BD32" s="377"/>
      <c r="BE32" s="377"/>
      <c r="BF32" s="377"/>
      <c r="BG32" s="377"/>
      <c r="BH32" s="377"/>
      <c r="BI32" s="427">
        <v>0</v>
      </c>
    </row>
    <row s="1859" customFormat="1" customHeight="1" ht="18.75" hidden="1">
      <c r="A33" s="1377"/>
      <c r="B33" s="1377"/>
      <c r="C33" s="1377"/>
      <c r="D33" s="1377"/>
      <c r="E33" s="1377"/>
      <c r="F33" s="1377"/>
      <c r="G33" s="1377"/>
      <c r="H33" s="1377"/>
      <c r="I33" s="1377"/>
      <c r="J33" s="1377"/>
      <c r="K33" s="1377"/>
      <c r="L33" s="1378"/>
      <c r="M33" s="1377"/>
      <c r="N33" s="1377"/>
      <c r="O33" s="1377"/>
      <c r="P33" s="1377"/>
      <c r="Q33" s="1377"/>
      <c r="S33" s="2278" t="s">
        <v>519</v>
      </c>
      <c r="T33" s="2278"/>
      <c r="U33" s="1381"/>
      <c r="V33" s="2279" t="str">
        <f>IF(TITLE_NUMBER_PR_CHANGE="",IF(TITLE_NUMBER_PR="","",TITLE_NUMBER_PR),TITLE_NUMBER_PR_CHANGE)</f>
        <v/>
      </c>
      <c r="W33" s="2279"/>
      <c r="X33" s="2279"/>
      <c r="Y33" s="2279"/>
      <c r="Z33" s="2279"/>
      <c r="AA33" s="2279"/>
      <c r="AB33" s="2279"/>
      <c r="AC33" s="335"/>
      <c r="AD33" s="2279" t="str">
        <f>IF(TITLE_NUMBER_PR_CHANGE="",IF(TITLE_NUMBER_PR="","",TITLE_NUMBER_PR),TITLE_NUMBER_PR_CHANGE)</f>
        <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335"/>
      <c r="BB33" s="335"/>
      <c r="BC33" s="289"/>
      <c r="BD33" s="377"/>
      <c r="BE33" s="377"/>
      <c r="BF33" s="377"/>
      <c r="BG33" s="377"/>
      <c r="BH33" s="377"/>
      <c r="BI33" s="427">
        <v>0</v>
      </c>
    </row>
    <row s="1859" customFormat="1" customHeight="1" ht="18.75" hidden="1">
      <c r="A34" s="1377"/>
      <c r="B34" s="1377"/>
      <c r="C34" s="1377"/>
      <c r="D34" s="1377"/>
      <c r="E34" s="1377"/>
      <c r="F34" s="1377"/>
      <c r="G34" s="1377"/>
      <c r="H34" s="1377"/>
      <c r="I34" s="1377"/>
      <c r="J34" s="1377"/>
      <c r="K34" s="1377"/>
      <c r="L34" s="1378"/>
      <c r="M34" s="1377"/>
      <c r="N34" s="1377"/>
      <c r="O34" s="1377"/>
      <c r="P34" s="1377"/>
      <c r="Q34" s="1377"/>
      <c r="S34" s="2278" t="s">
        <v>43</v>
      </c>
      <c r="T34" s="2278"/>
      <c r="U34" s="1381"/>
      <c r="V34" s="2279" t="str">
        <f>IF(TITLE_IST_PUB_CHANGE="",IF(TITLE_IST_PUB="","",TITLE_IST_PUB),TITLE_IST_PUB_CHANGE)</f>
        <v/>
      </c>
      <c r="W34" s="2279"/>
      <c r="X34" s="2279"/>
      <c r="Y34" s="2279"/>
      <c r="Z34" s="2279"/>
      <c r="AA34" s="2279"/>
      <c r="AB34" s="2279"/>
      <c r="AC34" s="335"/>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335"/>
      <c r="BB34" s="335"/>
      <c r="BC34" s="289"/>
      <c r="BD34" s="377"/>
      <c r="BE34" s="377"/>
      <c r="BF34" s="377"/>
      <c r="BG34" s="377"/>
      <c r="BH34" s="377"/>
      <c r="BI34" s="427">
        <v>0</v>
      </c>
    </row>
    <row customHeight="1" ht="14.25" hidden="1">
      <c r="Q35" s="300"/>
      <c r="R35" s="385"/>
      <c r="S35" s="1284"/>
      <c r="T35" s="372"/>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59" customFormat="1" customHeight="1" ht="18.75" hidden="1">
      <c r="A36" s="1377"/>
      <c r="B36" s="1377"/>
      <c r="C36" s="1377"/>
      <c r="D36" s="1377"/>
      <c r="E36" s="1377"/>
      <c r="F36" s="1377"/>
      <c r="G36" s="1377"/>
      <c r="H36" s="1377"/>
      <c r="I36" s="1377"/>
      <c r="J36" s="1377"/>
      <c r="K36" s="1377"/>
      <c r="L36" s="1378"/>
      <c r="M36" s="1377"/>
      <c r="N36" s="1377"/>
      <c r="O36" s="1377"/>
      <c r="P36" s="1377"/>
      <c r="Q36" s="1377"/>
      <c r="S36" s="2278" t="s">
        <v>518</v>
      </c>
      <c r="T36" s="2278"/>
      <c r="U36" s="1381"/>
      <c r="V36" s="2292" t="str">
        <f>IF(TITLE_DATE_PR_CHANGE="",IF(TITLE_DATE_PR="","",TITLE_DATE_PR),TITLE_DATE_PR_CHANGE)</f>
        <v/>
      </c>
      <c r="W36" s="2292"/>
      <c r="X36" s="2292"/>
      <c r="Y36" s="2292"/>
      <c r="Z36" s="2292"/>
      <c r="AA36" s="2292"/>
      <c r="AB36" s="2292"/>
      <c r="AC36" s="335"/>
      <c r="AD36" s="2292" t="str">
        <f>IF(TITLE_DATE_PR_CHANGE="",IF(TITLE_DATE_PR="","",TITLE_DATE_PR),TITLE_DATE_PR_CHANGE)</f>
        <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335"/>
      <c r="BB36" s="335"/>
      <c r="BC36" s="289"/>
      <c r="BD36" s="377"/>
      <c r="BE36" s="377"/>
      <c r="BF36" s="377"/>
      <c r="BG36" s="377"/>
      <c r="BH36" s="377"/>
      <c r="BI36" s="427">
        <v>0</v>
      </c>
    </row>
    <row s="1859" customFormat="1" customHeight="1" ht="18.75" hidden="1">
      <c r="A37" s="1377"/>
      <c r="B37" s="1377"/>
      <c r="C37" s="1377"/>
      <c r="D37" s="1377"/>
      <c r="E37" s="1377"/>
      <c r="F37" s="1377"/>
      <c r="G37" s="1377"/>
      <c r="H37" s="1377"/>
      <c r="I37" s="1377"/>
      <c r="J37" s="1377"/>
      <c r="K37" s="1377"/>
      <c r="L37" s="1378"/>
      <c r="M37" s="1377"/>
      <c r="N37" s="1377"/>
      <c r="O37" s="1377"/>
      <c r="P37" s="1377"/>
      <c r="Q37" s="1377"/>
      <c r="S37" s="2278" t="s">
        <v>519</v>
      </c>
      <c r="T37" s="2278"/>
      <c r="U37" s="1381"/>
      <c r="V37" s="2279" t="str">
        <f>IF(TITLE_NUMBER_PR_CHANGE="",IF(TITLE_NUMBER_PR="","",TITLE_NUMBER_PR),TITLE_NUMBER_PR_CHANGE)</f>
        <v/>
      </c>
      <c r="W37" s="2279"/>
      <c r="X37" s="2279"/>
      <c r="Y37" s="2279"/>
      <c r="Z37" s="2279"/>
      <c r="AA37" s="2279"/>
      <c r="AB37" s="2279"/>
      <c r="AC37" s="335"/>
      <c r="AD37" s="2279" t="str">
        <f>IF(TITLE_NUMBER_PR_CHANGE="",IF(TITLE_NUMBER_PR="","",TITLE_NUMBER_PR),TITLE_NUMBER_PR_CHANGE)</f>
        <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335"/>
      <c r="BB37" s="335"/>
      <c r="BC37" s="289"/>
      <c r="BD37" s="377"/>
      <c r="BE37" s="377"/>
      <c r="BF37" s="377"/>
      <c r="BG37" s="377"/>
      <c r="BH37" s="377"/>
      <c r="BI37" s="427">
        <v>0</v>
      </c>
    </row>
    <row s="1859"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63"/>
      <c r="V38" s="335"/>
      <c r="W38" s="335"/>
      <c r="X38" s="335"/>
      <c r="Y38" s="335"/>
      <c r="Z38" s="335"/>
      <c r="AA38" s="335"/>
      <c r="AB38" s="335"/>
      <c r="AC38" s="287" t="s">
        <v>438</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438</v>
      </c>
      <c r="BD38" s="377"/>
      <c r="BE38" s="377"/>
      <c r="BF38" s="377"/>
      <c r="BG38" s="377"/>
      <c r="BH38" s="377"/>
      <c r="BI38" s="427">
        <v>0</v>
      </c>
    </row>
    <row customHeight="1" ht="14.699999999999998">
      <c r="Q39" s="300"/>
      <c r="R39" s="385"/>
      <c r="S39" s="1284"/>
      <c r="T39" s="372"/>
      <c r="U39" s="1253"/>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164">
        <v>14</v>
      </c>
    </row>
    <row customHeight="1" ht="14.699999999999998">
      <c r="Q40" s="300"/>
      <c r="R40" s="385"/>
      <c r="S40" s="2155" t="s">
        <v>315</v>
      </c>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c r="AS40" s="2155"/>
      <c r="AT40" s="2155"/>
      <c r="AU40" s="2155"/>
      <c r="AV40" s="2155"/>
      <c r="AW40" s="2155"/>
      <c r="AX40" s="2155"/>
      <c r="AY40" s="2155"/>
      <c r="AZ40" s="2155"/>
      <c r="BA40" s="2155"/>
      <c r="BB40" s="2155"/>
      <c r="BC40" s="2155" t="s">
        <v>316</v>
      </c>
      <c r="BI40" s="1164">
        <v>14</v>
      </c>
    </row>
    <row customHeight="1" ht="14.699999999999998">
      <c r="Q41" s="300"/>
      <c r="R41" s="385"/>
      <c r="S41" s="2301" t="s">
        <v>89</v>
      </c>
      <c r="T41" s="2237" t="s">
        <v>520</v>
      </c>
      <c r="U41" s="310"/>
      <c r="V41" s="2302" t="s">
        <v>440</v>
      </c>
      <c r="W41" s="2303"/>
      <c r="X41" s="2303"/>
      <c r="Y41" s="2303"/>
      <c r="Z41" s="2303"/>
      <c r="AA41" s="2303"/>
      <c r="AB41" s="2304"/>
      <c r="AC41" s="2305" t="s">
        <v>441</v>
      </c>
      <c r="AD41" s="2356" t="s">
        <v>521</v>
      </c>
      <c r="AE41" s="2319"/>
      <c r="AF41" s="2319"/>
      <c r="AG41" s="2357"/>
      <c r="AH41" s="2356" t="s">
        <v>522</v>
      </c>
      <c r="AI41" s="2319"/>
      <c r="AJ41" s="2319"/>
      <c r="AK41" s="2357"/>
      <c r="AL41" s="2356" t="s">
        <v>523</v>
      </c>
      <c r="AM41" s="2319"/>
      <c r="AN41" s="2319"/>
      <c r="AO41" s="2357"/>
      <c r="AP41" s="2356" t="s">
        <v>524</v>
      </c>
      <c r="AQ41" s="2319"/>
      <c r="AR41" s="2319"/>
      <c r="AS41" s="2357"/>
      <c r="AT41" s="2302" t="s">
        <v>440</v>
      </c>
      <c r="AU41" s="2303"/>
      <c r="AV41" s="2303"/>
      <c r="AW41" s="2303"/>
      <c r="AX41" s="2303"/>
      <c r="AY41" s="2303"/>
      <c r="AZ41" s="2304"/>
      <c r="BA41" s="2305" t="s">
        <v>441</v>
      </c>
      <c r="BB41" s="2308" t="s">
        <v>443</v>
      </c>
      <c r="BC41" s="2155"/>
      <c r="BI41" s="1164">
        <v>14</v>
      </c>
    </row>
    <row customHeight="1" ht="35.699999999999996">
      <c r="Q42" s="300"/>
      <c r="R42" s="385"/>
      <c r="S42" s="2301"/>
      <c r="T42" s="2237"/>
      <c r="U42" s="1040"/>
      <c r="V42" s="2220" t="s">
        <v>525</v>
      </c>
      <c r="W42" s="2221"/>
      <c r="X42" s="2220" t="s">
        <v>526</v>
      </c>
      <c r="Y42" s="2221"/>
      <c r="Z42" s="2322" t="s">
        <v>527</v>
      </c>
      <c r="AA42" s="2341"/>
      <c r="AB42" s="2342"/>
      <c r="AC42" s="2306"/>
      <c r="AD42" s="2358"/>
      <c r="AE42" s="2359"/>
      <c r="AF42" s="2359"/>
      <c r="AG42" s="2360"/>
      <c r="AH42" s="2358"/>
      <c r="AI42" s="2359"/>
      <c r="AJ42" s="2359"/>
      <c r="AK42" s="2360"/>
      <c r="AL42" s="2358"/>
      <c r="AM42" s="2359"/>
      <c r="AN42" s="2359"/>
      <c r="AO42" s="2360"/>
      <c r="AP42" s="2358"/>
      <c r="AQ42" s="2359"/>
      <c r="AR42" s="2359"/>
      <c r="AS42" s="2360"/>
      <c r="AT42" s="2220" t="s">
        <v>525</v>
      </c>
      <c r="AU42" s="2221"/>
      <c r="AV42" s="2220" t="s">
        <v>526</v>
      </c>
      <c r="AW42" s="2221"/>
      <c r="AX42" s="2322" t="s">
        <v>527</v>
      </c>
      <c r="AY42" s="2341"/>
      <c r="AZ42" s="2342"/>
      <c r="BA42" s="2306"/>
      <c r="BB42" s="2309"/>
      <c r="BC42" s="2155"/>
      <c r="BI42" s="1164">
        <v>34</v>
      </c>
    </row>
    <row customHeight="1" ht="14.699999999999998">
      <c r="Q43" s="300"/>
      <c r="R43" s="385"/>
      <c r="S43" s="2301"/>
      <c r="T43" s="2237"/>
      <c r="U43" s="1040"/>
      <c r="V43" s="2228"/>
      <c r="W43" s="2229"/>
      <c r="X43" s="2228"/>
      <c r="Y43" s="2229"/>
      <c r="Z43" s="2323"/>
      <c r="AA43" s="2343"/>
      <c r="AB43" s="2344"/>
      <c r="AC43" s="2306"/>
      <c r="AD43" s="2358"/>
      <c r="AE43" s="2359"/>
      <c r="AF43" s="2359"/>
      <c r="AG43" s="2360"/>
      <c r="AH43" s="2358"/>
      <c r="AI43" s="2359"/>
      <c r="AJ43" s="2359"/>
      <c r="AK43" s="2360"/>
      <c r="AL43" s="2358"/>
      <c r="AM43" s="2359"/>
      <c r="AN43" s="2359"/>
      <c r="AO43" s="2360"/>
      <c r="AP43" s="2358"/>
      <c r="AQ43" s="2359"/>
      <c r="AR43" s="2359"/>
      <c r="AS43" s="2360"/>
      <c r="AT43" s="2228"/>
      <c r="AU43" s="2229"/>
      <c r="AV43" s="2228"/>
      <c r="AW43" s="2229"/>
      <c r="AX43" s="2323"/>
      <c r="AY43" s="2343"/>
      <c r="AZ43" s="2344"/>
      <c r="BA43" s="2306"/>
      <c r="BB43" s="2309"/>
      <c r="BC43" s="2155"/>
      <c r="BI43" s="1164">
        <v>14</v>
      </c>
    </row>
    <row customHeight="1" ht="14.699999999999998">
      <c r="A44" s="1379"/>
      <c r="B44" s="1379" t="s">
        <v>152</v>
      </c>
      <c r="C44" s="1379" t="s">
        <v>153</v>
      </c>
      <c r="D44" s="1379" t="s">
        <v>154</v>
      </c>
      <c r="E44" s="1373" t="s">
        <v>448</v>
      </c>
      <c r="F44" s="1373" t="s">
        <v>449</v>
      </c>
      <c r="G44" s="1373" t="s">
        <v>450</v>
      </c>
      <c r="H44" s="1373" t="s">
        <v>451</v>
      </c>
      <c r="I44" s="1373" t="s">
        <v>452</v>
      </c>
      <c r="J44" s="1373" t="s">
        <v>453</v>
      </c>
      <c r="K44" s="1373" t="s">
        <v>454</v>
      </c>
      <c r="L44" s="1373" t="s">
        <v>433</v>
      </c>
      <c r="Q44" s="300"/>
      <c r="R44" s="385"/>
      <c r="S44" s="2301"/>
      <c r="T44" s="2237"/>
      <c r="U44" s="311"/>
      <c r="V44" s="1457" t="s">
        <v>489</v>
      </c>
      <c r="W44" s="1457" t="s">
        <v>490</v>
      </c>
      <c r="X44" s="1457" t="s">
        <v>489</v>
      </c>
      <c r="Y44" s="1457" t="s">
        <v>490</v>
      </c>
      <c r="Z44" s="1464" t="s">
        <v>457</v>
      </c>
      <c r="AA44" s="2298" t="s">
        <v>458</v>
      </c>
      <c r="AB44" s="2299"/>
      <c r="AC44" s="2307"/>
      <c r="AD44" s="2361"/>
      <c r="AE44" s="2362"/>
      <c r="AF44" s="2362"/>
      <c r="AG44" s="2363"/>
      <c r="AH44" s="2361"/>
      <c r="AI44" s="2362"/>
      <c r="AJ44" s="2362"/>
      <c r="AK44" s="2363"/>
      <c r="AL44" s="2361"/>
      <c r="AM44" s="2362"/>
      <c r="AN44" s="2362"/>
      <c r="AO44" s="2363"/>
      <c r="AP44" s="2361"/>
      <c r="AQ44" s="2362"/>
      <c r="AR44" s="2362"/>
      <c r="AS44" s="2363"/>
      <c r="AT44" s="1457" t="s">
        <v>489</v>
      </c>
      <c r="AU44" s="1457" t="s">
        <v>490</v>
      </c>
      <c r="AV44" s="1457" t="s">
        <v>489</v>
      </c>
      <c r="AW44" s="1457" t="s">
        <v>490</v>
      </c>
      <c r="AX44" s="1464" t="s">
        <v>457</v>
      </c>
      <c r="AY44" s="2298" t="s">
        <v>458</v>
      </c>
      <c r="AZ44" s="2299"/>
      <c r="BA44" s="2307"/>
      <c r="BB44" s="2310"/>
      <c r="BC44" s="2155"/>
      <c r="BI44" s="1164">
        <v>14</v>
      </c>
    </row>
    <row s="1650" customFormat="1" customHeight="1" ht="11.25" hidden="1">
      <c r="A45" s="1379"/>
      <c r="B45" s="1379"/>
      <c r="C45" s="1379"/>
      <c r="D45" s="1379"/>
      <c r="E45" s="1379"/>
      <c r="F45" s="1379"/>
      <c r="G45" s="1379"/>
      <c r="H45" s="1379"/>
      <c r="I45" s="1379"/>
      <c r="J45" s="1379"/>
      <c r="K45" s="1379"/>
      <c r="L45" s="1373"/>
      <c r="M45" s="1371"/>
      <c r="N45" s="1371"/>
      <c r="O45" s="1371"/>
      <c r="P45" s="519"/>
      <c r="Q45" s="1263"/>
      <c r="R45" s="1263">
        <v>1</v>
      </c>
      <c r="S45" s="1286" t="s">
        <v>118</v>
      </c>
      <c r="T45" s="1264" t="s">
        <v>103</v>
      </c>
      <c r="U45" s="1254" t="str">
        <f>OFFSET(U45,0,-1)</f>
        <v>2</v>
      </c>
      <c r="V45" s="1460">
        <f>OFFSET(V45,0,-1)+1</f>
        <v>3</v>
      </c>
      <c r="W45" s="1460">
        <f>OFFSET(W45,0,-1)+1</f>
        <v>4</v>
      </c>
      <c r="X45" s="1460">
        <f>OFFSET(X45,0,-1)+1</f>
        <v>5</v>
      </c>
      <c r="Y45" s="1460">
        <f>OFFSET(Y45,0,-1)+1</f>
        <v>6</v>
      </c>
      <c r="Z45" s="1460">
        <f>OFFSET(Z45,0,-1)+1</f>
        <v>7</v>
      </c>
      <c r="AA45" s="2300">
        <f>OFFSET(AA45,0,-1)+1</f>
        <v>8</v>
      </c>
      <c r="AB45" s="2300"/>
      <c r="AC45" s="1460">
        <f>OFFSET(AC45,0,-2)+1</f>
        <v>9</v>
      </c>
      <c r="AD45" s="1460">
        <f>OFFSET(AD45,0,-1)+1</f>
        <v>10</v>
      </c>
      <c r="AE45" s="1460"/>
      <c r="AF45" s="1460"/>
      <c r="AG45" s="1460"/>
      <c r="AH45" s="1460"/>
      <c r="AI45" s="1460"/>
      <c r="AJ45" s="1460"/>
      <c r="AK45" s="1460"/>
      <c r="AL45" s="1460"/>
      <c r="AM45" s="1460"/>
      <c r="AN45" s="1460"/>
      <c r="AO45" s="1460"/>
      <c r="AP45" s="1460"/>
      <c r="AQ45" s="1460"/>
      <c r="AR45" s="1460"/>
      <c r="AS45" s="1460"/>
      <c r="AT45" s="1460"/>
      <c r="AU45" s="1460"/>
      <c r="AV45" s="1460"/>
      <c r="AW45" s="1460">
        <f>OFFSET(AW45,0,-1)+1</f>
        <v>1</v>
      </c>
      <c r="AX45" s="1460">
        <f>OFFSET(AX45,0,-1)+1</f>
        <v>2</v>
      </c>
      <c r="AY45" s="2300">
        <f>OFFSET(AY45,0,-1)+1</f>
        <v>3</v>
      </c>
      <c r="AZ45" s="2300"/>
      <c r="BA45" s="1460">
        <f>OFFSET(BA45,0,-2)+1</f>
        <v>4</v>
      </c>
      <c r="BB45" s="1254">
        <f>OFFSET(BB45,0,-1)</f>
        <v>4</v>
      </c>
      <c r="BC45" s="1460">
        <f>OFFSET(BC45,0,-1)+1</f>
        <v>5</v>
      </c>
      <c r="BD45" s="520"/>
      <c r="BE45" s="520"/>
      <c r="BF45" s="520"/>
      <c r="BG45" s="520"/>
      <c r="BH45" s="520"/>
      <c r="BI45" s="505">
        <v>0</v>
      </c>
    </row>
    <row customHeight="1" ht="22.049999999999997">
      <c r="A46" s="1372" t="s">
        <v>261</v>
      </c>
      <c r="B46" s="1372"/>
      <c r="C46" s="1372"/>
      <c r="D46" s="1372"/>
      <c r="E46" s="2286">
        <v>1</v>
      </c>
      <c r="F46" s="1372"/>
      <c r="G46" s="1372"/>
      <c r="H46" s="1372"/>
      <c r="I46" s="1372"/>
      <c r="J46" s="1372"/>
      <c r="K46" s="1372"/>
      <c r="L46" s="1373"/>
      <c r="M46" s="1374"/>
      <c r="N46" s="1374"/>
      <c r="O46" s="1374"/>
      <c r="P46" s="1418"/>
      <c r="Q46" s="882"/>
      <c r="R46" s="364"/>
      <c r="S46" s="1466">
        <f>INDEX(PT_DIFFERENTIATION_NUM_NTAR,MATCH(A46,PT_DIFFERENTIATION_NTAR_ID,0))</f>
        <v>0</v>
      </c>
      <c r="T46" s="307" t="s">
        <v>140</v>
      </c>
      <c r="U46" s="309"/>
      <c r="V46" s="2271"/>
      <c r="W46" s="2271"/>
      <c r="X46" s="2271"/>
      <c r="Y46" s="2271"/>
      <c r="Z46" s="2271"/>
      <c r="AA46" s="2271"/>
      <c r="AB46" s="2271"/>
      <c r="AC46" s="2272"/>
      <c r="AD46" s="2270" t="str">
        <f>INDEX(PT_DIFFERENTIATION_NTAR,MATCH(A46,PT_DIFFERENTIATION_NTAR_ID,0))</f>
        <v/>
      </c>
      <c r="AE46" s="2271"/>
      <c r="AF46" s="2271"/>
      <c r="AG46" s="2271"/>
      <c r="AH46" s="2271"/>
      <c r="AI46" s="2271"/>
      <c r="AJ46" s="2271"/>
      <c r="AK46" s="2271"/>
      <c r="AL46" s="2271"/>
      <c r="AM46" s="2271"/>
      <c r="AN46" s="2271"/>
      <c r="AO46" s="2271"/>
      <c r="AP46" s="2271"/>
      <c r="AQ46" s="2271"/>
      <c r="AR46" s="2271"/>
      <c r="AS46" s="2271"/>
      <c r="AT46" s="2271"/>
      <c r="AU46" s="2271"/>
      <c r="AV46" s="2271"/>
      <c r="AW46" s="2271"/>
      <c r="AX46" s="2271"/>
      <c r="AY46" s="2271"/>
      <c r="AZ46" s="2271"/>
      <c r="BA46" s="2271"/>
      <c r="BB46" s="2272"/>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261</v>
      </c>
      <c r="B47" s="1372" t="s">
        <v>262</v>
      </c>
      <c r="C47" s="1372"/>
      <c r="D47" s="1372"/>
      <c r="E47" s="2287"/>
      <c r="F47" s="2286">
        <v>1</v>
      </c>
      <c r="G47" s="1372"/>
      <c r="H47" s="1372"/>
      <c r="I47" s="1372"/>
      <c r="J47" s="1372"/>
      <c r="K47" s="1372"/>
      <c r="L47" s="1373"/>
      <c r="M47" s="1374"/>
      <c r="N47" s="1374"/>
      <c r="O47" s="1374"/>
      <c r="P47" s="1419"/>
      <c r="Q47" s="1420"/>
      <c r="R47" s="362"/>
      <c r="S47" s="1466" t="str">
        <f>INDEX(PT_DIFFERENTIATION_NUM_TER,MATCH(B47,PT_DIFFERENTIATION_TER_ID,0))</f>
        <v>.</v>
      </c>
      <c r="T47" s="317" t="s">
        <v>412</v>
      </c>
      <c r="U47" s="309"/>
      <c r="V47" s="2271"/>
      <c r="W47" s="2271"/>
      <c r="X47" s="2271"/>
      <c r="Y47" s="2271"/>
      <c r="Z47" s="2271"/>
      <c r="AA47" s="2271"/>
      <c r="AB47" s="2271"/>
      <c r="AC47" s="2272"/>
      <c r="AD47" s="2270" t="str">
        <f>INDEX(PT_DIFFERENTIATION_TER,MATCH(B47,PT_DIFFERENTIATION_TER_ID,0))</f>
        <v/>
      </c>
      <c r="AE47" s="2271"/>
      <c r="AF47" s="2271"/>
      <c r="AG47" s="2271"/>
      <c r="AH47" s="2271"/>
      <c r="AI47" s="2271"/>
      <c r="AJ47" s="2271"/>
      <c r="AK47" s="2271"/>
      <c r="AL47" s="2271"/>
      <c r="AM47" s="2271"/>
      <c r="AN47" s="2271"/>
      <c r="AO47" s="2271"/>
      <c r="AP47" s="2271"/>
      <c r="AQ47" s="2271"/>
      <c r="AR47" s="2271"/>
      <c r="AS47" s="2271"/>
      <c r="AT47" s="2271"/>
      <c r="AU47" s="2271"/>
      <c r="AV47" s="2271"/>
      <c r="AW47" s="2271"/>
      <c r="AX47" s="2271"/>
      <c r="AY47" s="2271"/>
      <c r="AZ47" s="2271"/>
      <c r="BA47" s="2271"/>
      <c r="BB47" s="2272"/>
      <c r="BC47" s="1267" t="s">
        <v>413</v>
      </c>
      <c r="BE47" s="509"/>
      <c r="BF47" s="509" t="str">
        <f>IF(T47="","",T47)</f>
        <v>Территория действия тарифа</v>
      </c>
      <c r="BG47" s="509"/>
      <c r="BH47" s="509"/>
      <c r="BI47" s="1164">
        <v>21</v>
      </c>
    </row>
    <row customHeight="1" ht="43.050000000000004">
      <c r="A48" s="1372" t="s">
        <v>261</v>
      </c>
      <c r="B48" s="1372" t="s">
        <v>262</v>
      </c>
      <c r="C48" s="1372" t="s">
        <v>263</v>
      </c>
      <c r="D48" s="1372"/>
      <c r="E48" s="2287"/>
      <c r="F48" s="2287"/>
      <c r="G48" s="2286">
        <v>1</v>
      </c>
      <c r="H48" s="1372"/>
      <c r="I48" s="1372"/>
      <c r="J48" s="1372"/>
      <c r="K48" s="1372"/>
      <c r="L48" s="1373"/>
      <c r="M48" s="1374"/>
      <c r="N48" s="1374"/>
      <c r="O48" s="1374"/>
      <c r="P48" s="1421"/>
      <c r="Q48" s="1420"/>
      <c r="R48" s="362"/>
      <c r="S48" s="1466" t="str">
        <f>INDEX(PT_DIFFERENTIATION_NUM_CS,MATCH(C48,PT_DIFFERENTIATION_CS_ID,0))</f>
        <v>..</v>
      </c>
      <c r="T48" s="318" t="s">
        <v>494</v>
      </c>
      <c r="U48" s="309"/>
      <c r="V48" s="2271"/>
      <c r="W48" s="2271"/>
      <c r="X48" s="2271"/>
      <c r="Y48" s="2271"/>
      <c r="Z48" s="2271"/>
      <c r="AA48" s="2271"/>
      <c r="AB48" s="2271"/>
      <c r="AC48" s="2272"/>
      <c r="AD48" s="2270" t="str">
        <f>INDEX(PT_DIFFERENTIATION_CS,MATCH(C48,PT_DIFFERENTIATION_CS_ID,0))</f>
        <v/>
      </c>
      <c r="AE48" s="2271"/>
      <c r="AF48" s="2271"/>
      <c r="AG48" s="2271"/>
      <c r="AH48" s="2271"/>
      <c r="AI48" s="2271"/>
      <c r="AJ48" s="2271"/>
      <c r="AK48" s="2271"/>
      <c r="AL48" s="2271"/>
      <c r="AM48" s="2271"/>
      <c r="AN48" s="2271"/>
      <c r="AO48" s="2271"/>
      <c r="AP48" s="2271"/>
      <c r="AQ48" s="2271"/>
      <c r="AR48" s="2271"/>
      <c r="AS48" s="2271"/>
      <c r="AT48" s="2271"/>
      <c r="AU48" s="2271"/>
      <c r="AV48" s="2271"/>
      <c r="AW48" s="2271"/>
      <c r="AX48" s="2271"/>
      <c r="AY48" s="2271"/>
      <c r="AZ48" s="2271"/>
      <c r="BA48" s="2271"/>
      <c r="BB48" s="2272"/>
      <c r="BC48" s="1267" t="s">
        <v>495</v>
      </c>
      <c r="BE48" s="509"/>
      <c r="BF48" s="509" t="str">
        <f>IF(T48="","",T48)</f>
        <v>Наименование централизованной системы холодного водоснабжения</v>
      </c>
      <c r="BG48" s="509"/>
      <c r="BH48" s="509"/>
      <c r="BI48" s="1164">
        <v>41</v>
      </c>
    </row>
    <row s="1651" customFormat="1" customHeight="1" ht="0">
      <c r="A49" s="1352" t="s">
        <v>261</v>
      </c>
      <c r="B49" s="1352" t="s">
        <v>262</v>
      </c>
      <c r="C49" s="1352" t="s">
        <v>263</v>
      </c>
      <c r="D49" s="1352" t="s">
        <v>528</v>
      </c>
      <c r="E49" s="2287"/>
      <c r="F49" s="2287"/>
      <c r="G49" s="2287"/>
      <c r="H49" s="2286">
        <v>1</v>
      </c>
      <c r="I49" s="1352"/>
      <c r="J49" s="1352"/>
      <c r="K49" s="1352"/>
      <c r="L49" s="1355"/>
      <c r="M49" s="1324"/>
      <c r="N49" s="1324"/>
      <c r="O49" s="1324"/>
      <c r="P49" s="1506"/>
      <c r="Q49" s="1507"/>
      <c r="R49" s="366"/>
      <c r="S49" s="1051"/>
      <c r="T49" s="1508"/>
      <c r="U49" s="1393"/>
      <c r="V49" s="2325"/>
      <c r="W49" s="2325"/>
      <c r="X49" s="2325"/>
      <c r="Y49" s="2325"/>
      <c r="Z49" s="2325"/>
      <c r="AA49" s="2325"/>
      <c r="AB49" s="2325"/>
      <c r="AC49" s="2326"/>
      <c r="AD49" s="2324"/>
      <c r="AE49" s="2325"/>
      <c r="AF49" s="2325"/>
      <c r="AG49" s="2325"/>
      <c r="AH49" s="2325"/>
      <c r="AI49" s="2325"/>
      <c r="AJ49" s="2325"/>
      <c r="AK49" s="2325"/>
      <c r="AL49" s="2325"/>
      <c r="AM49" s="2325"/>
      <c r="AN49" s="2325"/>
      <c r="AO49" s="2325"/>
      <c r="AP49" s="2325"/>
      <c r="AQ49" s="2325"/>
      <c r="AR49" s="2325"/>
      <c r="AS49" s="2325"/>
      <c r="AT49" s="2325"/>
      <c r="AU49" s="2325"/>
      <c r="AV49" s="2325"/>
      <c r="AW49" s="2325"/>
      <c r="AX49" s="2325"/>
      <c r="AY49" s="2325"/>
      <c r="AZ49" s="2325"/>
      <c r="BA49" s="2325"/>
      <c r="BB49" s="2326"/>
      <c r="BC49" s="1394" t="s">
        <v>417</v>
      </c>
      <c r="BE49" s="509"/>
      <c r="BF49" s="509" t="str">
        <f>IF(T49="","",T49)</f>
        <v/>
      </c>
      <c r="BG49" s="509"/>
      <c r="BH49" s="509"/>
      <c r="BI49" s="520">
        <v>0</v>
      </c>
    </row>
    <row s="1651" customFormat="1" customHeight="1" ht="0">
      <c r="A50" s="1352" t="s">
        <v>261</v>
      </c>
      <c r="B50" s="1352" t="s">
        <v>262</v>
      </c>
      <c r="C50" s="1352" t="s">
        <v>263</v>
      </c>
      <c r="D50" s="1352" t="s">
        <v>528</v>
      </c>
      <c r="E50" s="2287"/>
      <c r="F50" s="2287"/>
      <c r="G50" s="2287"/>
      <c r="H50" s="2287"/>
      <c r="I50" s="2284" t="str">
        <f>S49&amp;".1"</f>
        <v>.1</v>
      </c>
      <c r="J50" s="1352"/>
      <c r="K50" s="1352"/>
      <c r="L50" s="1355" t="s">
        <v>418</v>
      </c>
      <c r="M50" s="519"/>
      <c r="N50" s="519"/>
      <c r="O50" s="519"/>
      <c r="P50" s="2285">
        <v>1</v>
      </c>
      <c r="Q50" s="1471"/>
      <c r="R50" s="365"/>
      <c r="S50" s="1051"/>
      <c r="T50" s="1392"/>
      <c r="U50" s="1393"/>
      <c r="V50" s="2325"/>
      <c r="W50" s="2325"/>
      <c r="X50" s="2325"/>
      <c r="Y50" s="2325"/>
      <c r="Z50" s="2325"/>
      <c r="AA50" s="2325"/>
      <c r="AB50" s="2325"/>
      <c r="AC50" s="2326"/>
      <c r="AD50" s="2324"/>
      <c r="AE50" s="2325"/>
      <c r="AF50" s="2325"/>
      <c r="AG50" s="2325"/>
      <c r="AH50" s="2325"/>
      <c r="AI50" s="2325"/>
      <c r="AJ50" s="2325"/>
      <c r="AK50" s="2325"/>
      <c r="AL50" s="2325"/>
      <c r="AM50" s="2325"/>
      <c r="AN50" s="2325"/>
      <c r="AO50" s="2325"/>
      <c r="AP50" s="2325"/>
      <c r="AQ50" s="2325"/>
      <c r="AR50" s="2325"/>
      <c r="AS50" s="2325"/>
      <c r="AT50" s="2325"/>
      <c r="AU50" s="2325"/>
      <c r="AV50" s="2325"/>
      <c r="AW50" s="2325"/>
      <c r="AX50" s="2325"/>
      <c r="AY50" s="2325"/>
      <c r="AZ50" s="2325"/>
      <c r="BA50" s="2325"/>
      <c r="BB50" s="2326"/>
      <c r="BC50" s="1394"/>
      <c r="BE50" s="509"/>
      <c r="BF50" s="509" t="str">
        <f>IF(T50="","",T50)</f>
        <v/>
      </c>
      <c r="BG50" s="509"/>
      <c r="BH50" s="509"/>
      <c r="BI50" s="520">
        <v>0</v>
      </c>
    </row>
    <row s="1651" customFormat="1" customHeight="1" ht="0">
      <c r="A51" s="1352" t="s">
        <v>261</v>
      </c>
      <c r="B51" s="1352" t="s">
        <v>262</v>
      </c>
      <c r="C51" s="1352" t="s">
        <v>263</v>
      </c>
      <c r="D51" s="1352" t="s">
        <v>528</v>
      </c>
      <c r="E51" s="2287"/>
      <c r="F51" s="2287"/>
      <c r="G51" s="2287"/>
      <c r="H51" s="2287"/>
      <c r="I51" s="2314"/>
      <c r="J51" s="2284" t="str">
        <f>S49&amp;".1"</f>
        <v>.1</v>
      </c>
      <c r="K51" s="1352"/>
      <c r="L51" s="1355"/>
      <c r="M51" s="519"/>
      <c r="N51" s="519"/>
      <c r="O51" s="519"/>
      <c r="P51" s="2285"/>
      <c r="Q51" s="2285">
        <v>1</v>
      </c>
      <c r="R51" s="366"/>
      <c r="S51" s="1051"/>
      <c r="T51" s="1408"/>
      <c r="U51" s="1393"/>
      <c r="V51" s="2325"/>
      <c r="W51" s="2325"/>
      <c r="X51" s="2325"/>
      <c r="Y51" s="2325"/>
      <c r="Z51" s="2325"/>
      <c r="AA51" s="2325"/>
      <c r="AB51" s="2325"/>
      <c r="AC51" s="2326"/>
      <c r="AD51" s="2324"/>
      <c r="AE51" s="2325"/>
      <c r="AF51" s="2325"/>
      <c r="AG51" s="2325"/>
      <c r="AH51" s="2325"/>
      <c r="AI51" s="2325"/>
      <c r="AJ51" s="2325"/>
      <c r="AK51" s="2325"/>
      <c r="AL51" s="2325"/>
      <c r="AM51" s="2325"/>
      <c r="AN51" s="2392"/>
      <c r="AO51" s="2392"/>
      <c r="AP51" s="2325"/>
      <c r="AQ51" s="2325"/>
      <c r="AR51" s="2325"/>
      <c r="AS51" s="2325"/>
      <c r="AT51" s="2325"/>
      <c r="AU51" s="2325"/>
      <c r="AV51" s="2325"/>
      <c r="AW51" s="2325"/>
      <c r="AX51" s="2325"/>
      <c r="AY51" s="2325"/>
      <c r="AZ51" s="2325"/>
      <c r="BA51" s="2325"/>
      <c r="BB51" s="2326"/>
      <c r="BC51" s="1394"/>
      <c r="BE51" s="509"/>
      <c r="BF51" s="509" t="str">
        <f>IF(T51="","",T51)</f>
        <v/>
      </c>
      <c r="BG51" s="509"/>
      <c r="BH51" s="509"/>
      <c r="BI51" s="520">
        <v>0</v>
      </c>
    </row>
    <row customHeight="1" ht="11.549999999999999">
      <c r="A52" s="1372" t="s">
        <v>261</v>
      </c>
      <c r="B52" s="1372" t="s">
        <v>262</v>
      </c>
      <c r="C52" s="1372" t="s">
        <v>263</v>
      </c>
      <c r="D52" s="1372" t="s">
        <v>528</v>
      </c>
      <c r="E52" s="2287"/>
      <c r="F52" s="2287"/>
      <c r="G52" s="2287"/>
      <c r="H52" s="2287"/>
      <c r="I52" s="2314"/>
      <c r="J52" s="2314"/>
      <c r="K52" s="2284" t="str">
        <f>S48&amp;".1"</f>
        <v>...1</v>
      </c>
      <c r="L52" s="1373"/>
      <c r="P52" s="2285"/>
      <c r="Q52" s="2285"/>
      <c r="R52" s="366">
        <v>1</v>
      </c>
      <c r="S52" s="2369" t="str">
        <f>$K52</f>
        <v>...1</v>
      </c>
      <c r="T52" s="2388"/>
      <c r="U52" s="309"/>
      <c r="V52" s="760"/>
      <c r="W52" s="1266"/>
      <c r="X52" s="760"/>
      <c r="Y52" s="1266"/>
      <c r="Z52" s="1742"/>
      <c r="AA52" s="1468" t="s">
        <v>63</v>
      </c>
      <c r="AB52" s="1742"/>
      <c r="AC52" s="1468" t="s">
        <v>63</v>
      </c>
      <c r="AD52" s="2213" t="s">
        <v>63</v>
      </c>
      <c r="AE52" s="2354"/>
      <c r="AF52" s="2233">
        <v>1</v>
      </c>
      <c r="AG52" s="2391"/>
      <c r="AH52" s="2135" t="s">
        <v>63</v>
      </c>
      <c r="AI52" s="2354"/>
      <c r="AJ52" s="2233">
        <v>1</v>
      </c>
      <c r="AK52" s="2355" t="s">
        <v>22</v>
      </c>
      <c r="AL52" s="2135" t="s">
        <v>63</v>
      </c>
      <c r="AM52" s="2220"/>
      <c r="AN52" s="2233">
        <v>1</v>
      </c>
      <c r="AO52" s="2385"/>
      <c r="AP52" s="2386" t="s">
        <v>63</v>
      </c>
      <c r="AQ52" s="320"/>
      <c r="AR52" s="1472">
        <v>1</v>
      </c>
      <c r="AS52" s="1475" t="s">
        <v>22</v>
      </c>
      <c r="AT52" s="760"/>
      <c r="AU52" s="1266"/>
      <c r="AV52" s="760"/>
      <c r="AW52" s="1266"/>
      <c r="AX52" s="1742"/>
      <c r="AY52" s="1468" t="s">
        <v>63</v>
      </c>
      <c r="AZ52" s="1742"/>
      <c r="BA52" s="1468" t="s">
        <v>63</v>
      </c>
      <c r="BB52" s="1357"/>
      <c r="BC52" s="2281" t="s">
        <v>512</v>
      </c>
      <c r="BE52" s="509"/>
      <c r="BF52" s="509" t="str">
        <f>IF(T52="","",T52)</f>
        <v/>
      </c>
      <c r="BG52" s="509"/>
      <c r="BH52" s="509"/>
      <c r="BI52" s="1164">
        <v>11</v>
      </c>
    </row>
    <row customHeight="1" ht="11.549999999999999">
      <c r="A53" s="1372"/>
      <c r="B53" s="1372"/>
      <c r="C53" s="1372"/>
      <c r="D53" s="1372"/>
      <c r="E53" s="2287"/>
      <c r="F53" s="2287"/>
      <c r="G53" s="2287"/>
      <c r="H53" s="2287"/>
      <c r="I53" s="2314"/>
      <c r="J53" s="2314"/>
      <c r="K53" s="2284"/>
      <c r="L53" s="1373"/>
      <c r="P53" s="2285"/>
      <c r="Q53" s="2285"/>
      <c r="R53" s="366"/>
      <c r="S53" s="2370"/>
      <c r="T53" s="2389"/>
      <c r="U53" s="309"/>
      <c r="V53" s="1402"/>
      <c r="W53" s="1505"/>
      <c r="X53" s="1402"/>
      <c r="Y53" s="1505"/>
      <c r="Z53" s="1402"/>
      <c r="AA53" s="1402"/>
      <c r="AB53" s="1402"/>
      <c r="AC53" s="1402"/>
      <c r="AD53" s="2214"/>
      <c r="AE53" s="2354"/>
      <c r="AF53" s="2233"/>
      <c r="AG53" s="2391"/>
      <c r="AH53" s="2135"/>
      <c r="AI53" s="2354"/>
      <c r="AJ53" s="2233"/>
      <c r="AK53" s="2355"/>
      <c r="AL53" s="2135"/>
      <c r="AM53" s="2228"/>
      <c r="AN53" s="2233"/>
      <c r="AO53" s="2385"/>
      <c r="AP53" s="2387"/>
      <c r="AQ53" s="325"/>
      <c r="AR53" s="425"/>
      <c r="AS53" s="425" t="s">
        <v>513</v>
      </c>
      <c r="AT53" s="1402"/>
      <c r="AU53" s="1505"/>
      <c r="AV53" s="1402"/>
      <c r="AW53" s="1505"/>
      <c r="AX53" s="1402"/>
      <c r="AY53" s="1402"/>
      <c r="AZ53" s="1402"/>
      <c r="BA53" s="1402"/>
      <c r="BB53" s="1406"/>
      <c r="BC53" s="2282"/>
      <c r="BE53" s="509"/>
      <c r="BF53" s="509"/>
      <c r="BG53" s="509"/>
      <c r="BH53" s="509"/>
      <c r="BI53" s="1164">
        <v>11</v>
      </c>
    </row>
    <row customHeight="1" ht="11.549999999999999">
      <c r="A54" s="1372" t="s">
        <v>261</v>
      </c>
      <c r="B54" s="1372"/>
      <c r="C54" s="1372"/>
      <c r="D54" s="1372"/>
      <c r="E54" s="2287"/>
      <c r="F54" s="2287"/>
      <c r="G54" s="2287"/>
      <c r="H54" s="2287"/>
      <c r="I54" s="2314"/>
      <c r="J54" s="2314"/>
      <c r="K54" s="2284"/>
      <c r="L54" s="1373"/>
      <c r="P54" s="2285"/>
      <c r="Q54" s="2285"/>
      <c r="R54" s="366"/>
      <c r="S54" s="2370"/>
      <c r="T54" s="2389"/>
      <c r="U54" s="309"/>
      <c r="V54" s="1402"/>
      <c r="W54" s="1505"/>
      <c r="X54" s="1402"/>
      <c r="Y54" s="1505"/>
      <c r="Z54" s="1402"/>
      <c r="AA54" s="1402"/>
      <c r="AB54" s="1402"/>
      <c r="AC54" s="1402"/>
      <c r="AD54" s="2214"/>
      <c r="AE54" s="2354"/>
      <c r="AF54" s="2233"/>
      <c r="AG54" s="2391"/>
      <c r="AH54" s="2135"/>
      <c r="AI54" s="2354"/>
      <c r="AJ54" s="2233"/>
      <c r="AK54" s="2355"/>
      <c r="AL54" s="2135"/>
      <c r="AM54" s="325"/>
      <c r="AN54" s="1509"/>
      <c r="AO54" s="1509" t="s">
        <v>514</v>
      </c>
      <c r="AP54" s="425"/>
      <c r="AQ54" s="425"/>
      <c r="AR54" s="425"/>
      <c r="AS54" s="1402"/>
      <c r="AT54" s="1402"/>
      <c r="AU54" s="1505"/>
      <c r="AV54" s="1402"/>
      <c r="AW54" s="1505"/>
      <c r="AX54" s="1402"/>
      <c r="AY54" s="1402"/>
      <c r="AZ54" s="1402"/>
      <c r="BA54" s="1402"/>
      <c r="BB54" s="1406"/>
      <c r="BC54" s="2282"/>
      <c r="BE54" s="509"/>
      <c r="BF54" s="509"/>
      <c r="BG54" s="509"/>
      <c r="BH54" s="509"/>
      <c r="BI54" s="1164">
        <v>11</v>
      </c>
    </row>
    <row customHeight="1" ht="11.549999999999999">
      <c r="A55" s="1372" t="s">
        <v>261</v>
      </c>
      <c r="B55" s="1372"/>
      <c r="C55" s="1372"/>
      <c r="D55" s="1372"/>
      <c r="E55" s="2287"/>
      <c r="F55" s="2287"/>
      <c r="G55" s="2287"/>
      <c r="H55" s="2287"/>
      <c r="I55" s="2314"/>
      <c r="J55" s="2314"/>
      <c r="K55" s="2284"/>
      <c r="L55" s="1373"/>
      <c r="P55" s="2285"/>
      <c r="Q55" s="2285"/>
      <c r="R55" s="366"/>
      <c r="S55" s="2370"/>
      <c r="T55" s="2389"/>
      <c r="U55" s="309"/>
      <c r="V55" s="1402"/>
      <c r="W55" s="1505"/>
      <c r="X55" s="1402"/>
      <c r="Y55" s="1505"/>
      <c r="Z55" s="1402"/>
      <c r="AA55" s="1402"/>
      <c r="AB55" s="1402"/>
      <c r="AC55" s="1402"/>
      <c r="AD55" s="2214"/>
      <c r="AE55" s="2354"/>
      <c r="AF55" s="2233"/>
      <c r="AG55" s="2391"/>
      <c r="AH55" s="2135"/>
      <c r="AI55" s="303"/>
      <c r="AJ55" s="424"/>
      <c r="AK55" s="322" t="s">
        <v>515</v>
      </c>
      <c r="AL55" s="1402"/>
      <c r="AM55" s="1402"/>
      <c r="AN55" s="1402"/>
      <c r="AO55" s="1402"/>
      <c r="AP55" s="1402"/>
      <c r="AQ55" s="1402"/>
      <c r="AR55" s="1402"/>
      <c r="AS55" s="1402"/>
      <c r="AT55" s="1402"/>
      <c r="AU55" s="1505"/>
      <c r="AV55" s="1402"/>
      <c r="AW55" s="1505"/>
      <c r="AX55" s="1402"/>
      <c r="AY55" s="1402"/>
      <c r="AZ55" s="1402"/>
      <c r="BA55" s="1402"/>
      <c r="BB55" s="1406"/>
      <c r="BC55" s="2282"/>
      <c r="BE55" s="509"/>
      <c r="BF55" s="509"/>
      <c r="BG55" s="509"/>
      <c r="BH55" s="509"/>
      <c r="BI55" s="1164">
        <v>11</v>
      </c>
    </row>
    <row customHeight="1" ht="11.549999999999999">
      <c r="A56" s="1372" t="s">
        <v>261</v>
      </c>
      <c r="B56" s="1372" t="s">
        <v>262</v>
      </c>
      <c r="C56" s="1372" t="s">
        <v>263</v>
      </c>
      <c r="D56" s="1372" t="s">
        <v>528</v>
      </c>
      <c r="E56" s="2287"/>
      <c r="F56" s="2287"/>
      <c r="G56" s="2287"/>
      <c r="H56" s="2287"/>
      <c r="I56" s="2314"/>
      <c r="J56" s="2314"/>
      <c r="K56" s="2284"/>
      <c r="L56" s="1373"/>
      <c r="P56" s="2285"/>
      <c r="Q56" s="2285"/>
      <c r="R56" s="366"/>
      <c r="S56" s="2371"/>
      <c r="T56" s="2390"/>
      <c r="U56" s="309"/>
      <c r="V56" s="1402"/>
      <c r="W56" s="1403" t="str">
        <f>Z52&amp;"-"&amp;AB52</f>
        <v>-</v>
      </c>
      <c r="X56" s="1402"/>
      <c r="Y56" s="1403" t="str">
        <f>AB52&amp;"-"&amp;AD52</f>
        <v>-да</v>
      </c>
      <c r="Z56" s="1402"/>
      <c r="AA56" s="1402"/>
      <c r="AB56" s="1402"/>
      <c r="AC56" s="1402"/>
      <c r="AD56" s="2140"/>
      <c r="AE56" s="321"/>
      <c r="AF56" s="323"/>
      <c r="AG56" s="425" t="s">
        <v>516</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82"/>
      <c r="BE56" s="509"/>
      <c r="BF56" s="509" t="str">
        <f>IF(T56="","",T56)</f>
        <v/>
      </c>
      <c r="BG56" s="509"/>
      <c r="BH56" s="509"/>
      <c r="BI56" s="1164">
        <v>11</v>
      </c>
    </row>
    <row customHeight="1" ht="11.549999999999999">
      <c r="A57" s="1372" t="s">
        <v>261</v>
      </c>
      <c r="B57" s="1372" t="s">
        <v>262</v>
      </c>
      <c r="C57" s="1372" t="s">
        <v>263</v>
      </c>
      <c r="D57" s="1372" t="s">
        <v>528</v>
      </c>
      <c r="E57" s="2287"/>
      <c r="F57" s="2287"/>
      <c r="G57" s="2287"/>
      <c r="H57" s="2287"/>
      <c r="I57" s="2314"/>
      <c r="J57" s="2284"/>
      <c r="K57" s="1372"/>
      <c r="L57" s="1373"/>
      <c r="P57" s="2285"/>
      <c r="Q57" s="2285"/>
      <c r="R57" s="365"/>
      <c r="S57" s="1287"/>
      <c r="T57" s="296" t="s">
        <v>479</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83"/>
      <c r="BE57" s="509"/>
      <c r="BF57" s="509" t="str">
        <f>IF(T57="","",T57)</f>
        <v>Добавить строку</v>
      </c>
      <c r="BG57" s="509"/>
      <c r="BH57" s="509"/>
      <c r="BI57" s="1164">
        <v>11</v>
      </c>
    </row>
    <row s="1651" customFormat="1" customHeight="1" ht="0">
      <c r="A58" s="1352" t="s">
        <v>261</v>
      </c>
      <c r="B58" s="1352" t="s">
        <v>262</v>
      </c>
      <c r="C58" s="1352" t="s">
        <v>263</v>
      </c>
      <c r="D58" s="1352" t="s">
        <v>528</v>
      </c>
      <c r="E58" s="2287"/>
      <c r="F58" s="2287"/>
      <c r="G58" s="2287"/>
      <c r="H58" s="2287"/>
      <c r="I58" s="2284"/>
      <c r="J58" s="1352"/>
      <c r="K58" s="1352"/>
      <c r="L58" s="1355"/>
      <c r="M58" s="519"/>
      <c r="N58" s="519"/>
      <c r="O58" s="519"/>
      <c r="P58" s="2285"/>
      <c r="Q58" s="1471"/>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261</v>
      </c>
      <c r="B59" s="1352" t="s">
        <v>262</v>
      </c>
      <c r="C59" s="1352" t="s">
        <v>263</v>
      </c>
      <c r="D59" s="1352" t="s">
        <v>528</v>
      </c>
      <c r="E59" s="2287"/>
      <c r="F59" s="2287"/>
      <c r="G59" s="2287"/>
      <c r="H59" s="2286"/>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261</v>
      </c>
      <c r="B60" s="1352" t="s">
        <v>262</v>
      </c>
      <c r="C60" s="1352" t="s">
        <v>263</v>
      </c>
      <c r="D60" s="1323"/>
      <c r="E60" s="2287"/>
      <c r="F60" s="2287"/>
      <c r="G60" s="2286"/>
      <c r="H60" s="1323"/>
      <c r="I60" s="1323"/>
      <c r="J60" s="1323"/>
      <c r="K60" s="1323"/>
      <c r="L60" s="147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261</v>
      </c>
      <c r="B61" s="1352" t="s">
        <v>262</v>
      </c>
      <c r="C61" s="1323"/>
      <c r="D61" s="1323"/>
      <c r="E61" s="2287"/>
      <c r="F61" s="2286"/>
      <c r="G61" s="1323"/>
      <c r="H61" s="1323"/>
      <c r="I61" s="1323"/>
      <c r="J61" s="1323"/>
      <c r="K61" s="1323"/>
      <c r="L61" s="1473"/>
      <c r="M61" s="1330"/>
      <c r="N61" s="1330"/>
      <c r="P61" s="1325"/>
      <c r="Q61" s="1326"/>
      <c r="R61" s="1325"/>
      <c r="S61" s="1331"/>
      <c r="T61" s="1334" t="s">
        <v>430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261</v>
      </c>
      <c r="B62" s="1352"/>
      <c r="C62" s="1352"/>
      <c r="D62" s="1352"/>
      <c r="E62" s="2286"/>
      <c r="F62" s="1352"/>
      <c r="G62" s="1352"/>
      <c r="H62" s="1352"/>
      <c r="I62" s="1352"/>
      <c r="J62" s="1352"/>
      <c r="K62" s="1352"/>
      <c r="L62" s="1355"/>
      <c r="M62" s="1330"/>
      <c r="N62" s="1330"/>
      <c r="O62" s="527"/>
      <c r="P62" s="389"/>
      <c r="Q62" s="1353"/>
      <c r="R62" s="389"/>
      <c r="S62" s="1331"/>
      <c r="T62" s="1334" t="s">
        <v>431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473"/>
      <c r="M63" s="1330"/>
      <c r="N63" s="1330"/>
      <c r="P63" s="1325"/>
      <c r="Q63" s="1326"/>
      <c r="R63" s="1325"/>
      <c r="S63" s="1331"/>
      <c r="T63" s="1334" t="s">
        <v>459</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9.95">
      <c r="O65" s="546"/>
      <c r="S65" s="1262"/>
      <c r="T65" s="2313"/>
      <c r="U65" s="2313"/>
      <c r="V65" s="2313"/>
      <c r="W65" s="2313"/>
      <c r="X65" s="2313"/>
      <c r="Y65" s="2313"/>
      <c r="Z65" s="2313"/>
      <c r="AA65" s="2313"/>
      <c r="AB65" s="2313"/>
      <c r="AC65" s="2313"/>
      <c r="AD65" s="2313"/>
      <c r="AE65" s="2313"/>
      <c r="AF65" s="2313"/>
      <c r="AG65" s="2313"/>
      <c r="AH65" s="2313"/>
      <c r="AI65" s="2313"/>
      <c r="AJ65" s="2313"/>
      <c r="AK65" s="2313"/>
      <c r="AL65" s="2313"/>
      <c r="AM65" s="2313"/>
      <c r="AN65" s="2313"/>
      <c r="AO65" s="2313"/>
      <c r="AP65" s="2313"/>
      <c r="AQ65" s="2313"/>
      <c r="AR65" s="2313"/>
      <c r="AS65" s="2313"/>
      <c r="AT65" s="2313"/>
      <c r="AU65" s="2313"/>
      <c r="AV65" s="2313"/>
      <c r="AW65" s="2313"/>
      <c r="AX65" s="2313"/>
      <c r="AY65" s="2313"/>
      <c r="AZ65" s="2313"/>
      <c r="BA65" s="2313"/>
      <c r="BB65" s="2313"/>
      <c r="BC65" s="2313"/>
      <c r="BI65" s="1164">
        <v>19</v>
      </c>
    </row>
    <row customHeight="1" ht="14.699999999999998">
      <c r="O66" s="546"/>
      <c r="T66" s="1458"/>
      <c r="U66" s="1458"/>
      <c r="V66" s="1458"/>
      <c r="W66" s="1458"/>
      <c r="X66" s="1458"/>
      <c r="Y66" s="1458"/>
      <c r="Z66" s="1458"/>
      <c r="AA66" s="1458"/>
      <c r="AB66" s="1458"/>
      <c r="AC66" s="1458"/>
      <c r="AD66" s="1458"/>
      <c r="AE66" s="1458"/>
      <c r="AF66" s="1458"/>
      <c r="AG66" s="1458"/>
      <c r="AH66" s="1458"/>
      <c r="AI66" s="1458"/>
      <c r="AJ66" s="1458"/>
      <c r="AK66" s="1458"/>
      <c r="AL66" s="1458"/>
      <c r="AM66" s="1458"/>
      <c r="AN66" s="1458"/>
      <c r="AO66" s="1458"/>
      <c r="AP66" s="1458"/>
      <c r="AQ66" s="1458"/>
      <c r="AR66" s="1458"/>
      <c r="AS66" s="1458"/>
      <c r="AT66" s="1458"/>
      <c r="AU66" s="1458"/>
      <c r="AV66" s="1458"/>
      <c r="AW66" s="1458"/>
      <c r="AX66" s="1458"/>
      <c r="AY66" s="1458"/>
      <c r="AZ66" s="1458"/>
      <c r="BA66" s="1458"/>
      <c r="BB66" s="1458"/>
      <c r="BC66" s="1458"/>
      <c r="BI66" s="1164">
        <v>14</v>
      </c>
    </row>
    <row customHeight="1" ht="19.95">
      <c r="O67" s="546"/>
      <c r="S67" s="1262"/>
      <c r="T67" s="2313"/>
      <c r="U67" s="2313"/>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R67" s="2313"/>
      <c r="AS67" s="2313"/>
      <c r="AT67" s="2313"/>
      <c r="AU67" s="2313"/>
      <c r="AV67" s="2313"/>
      <c r="AW67" s="2313"/>
      <c r="AX67" s="2313"/>
      <c r="AY67" s="2313"/>
      <c r="AZ67" s="2313"/>
      <c r="BA67" s="2313"/>
      <c r="BB67" s="2313"/>
      <c r="BC67" s="2313"/>
      <c r="BI67" s="1164">
        <v>19</v>
      </c>
    </row>
    <row customHeight="1" ht="14.699999999999998">
      <c r="O68" s="546"/>
      <c r="BI68" s="1164">
        <v>14</v>
      </c>
    </row>
    <row customHeight="1" ht="14.25" hidden="1">
      <c r="A69" s="1169" t="s">
        <v>83</v>
      </c>
      <c r="B69" s="1169">
        <v>0</v>
      </c>
      <c r="C69" s="1169">
        <v>0</v>
      </c>
      <c r="D69" s="1169">
        <v>0</v>
      </c>
      <c r="E69" s="1169">
        <v>0</v>
      </c>
      <c r="F69" s="1169">
        <v>0</v>
      </c>
      <c r="G69" s="1169">
        <v>0</v>
      </c>
      <c r="H69" s="1169">
        <v>0</v>
      </c>
      <c r="I69" s="1169">
        <v>0</v>
      </c>
      <c r="J69" s="1169">
        <v>0</v>
      </c>
      <c r="K69" s="1169">
        <v>0</v>
      </c>
      <c r="L69" s="1470">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9D639D-09B4-4715-B9C3-0.1047672D}"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502">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96"/>
      <c r="Q3" s="361"/>
      <c r="R3" s="362"/>
      <c r="S3" s="1502">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502">
        <f>INDEX(PT_DIFFERENTIATION_NUM_CS,MATCH(C4,PT_DIFFERENTIATION_CS_ID,0))</f>
      </c>
      <c r="T4" s="318" t="s">
        <v>529</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530</v>
      </c>
      <c r="AM4" s="509"/>
      <c r="AN4" s="509" t="str">
        <f>IF(T4="","",T4)</f>
        <v>Наименование централизованной системы водоотведения</v>
      </c>
      <c r="AO4" s="509"/>
      <c r="AP4" s="509"/>
      <c r="AQ4" s="1164">
        <v>0</v>
      </c>
    </row>
    <row customHeight="1" ht="23.25" hidden="1">
      <c r="A5" s="1372"/>
      <c r="B5" s="1372"/>
      <c r="C5" s="1372"/>
      <c r="D5" s="1372"/>
      <c r="E5" s="2287"/>
      <c r="F5" s="2287"/>
      <c r="G5" s="2287"/>
      <c r="H5" s="2287"/>
      <c r="I5" s="2284">
        <f>S4&amp;".1"</f>
      </c>
      <c r="J5" s="1372"/>
      <c r="K5" s="1372"/>
      <c r="L5" s="1373"/>
      <c r="P5" s="2285">
        <v>1</v>
      </c>
      <c r="Q5" s="1490"/>
      <c r="R5" s="365"/>
      <c r="S5" s="1502">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502">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502">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99"/>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90"/>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503"/>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87"/>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87"/>
      <c r="M19" s="1371"/>
      <c r="N19" s="1371"/>
      <c r="O19" s="1371"/>
      <c r="P19" s="1371"/>
      <c r="Q19" s="1380"/>
      <c r="R19" s="1380"/>
      <c r="S19" s="738"/>
      <c r="AB19" s="1375"/>
      <c r="AI19" s="1375"/>
      <c r="AL19" s="520"/>
      <c r="AM19" s="520"/>
      <c r="AN19" s="520"/>
      <c r="AO19" s="520"/>
      <c r="AP19" s="520"/>
      <c r="AQ19" s="1169">
        <v>0</v>
      </c>
    </row>
    <row s="1375" customFormat="1" customHeight="1" ht="12" hidden="1">
      <c r="L20" s="1487"/>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492" t="s">
        <v>502</v>
      </c>
      <c r="W38" s="2290" t="s">
        <v>446</v>
      </c>
      <c r="X38" s="2291"/>
      <c r="Y38" s="2290" t="s">
        <v>447</v>
      </c>
      <c r="Z38" s="2297"/>
      <c r="AA38" s="2291"/>
      <c r="AB38" s="2306"/>
      <c r="AC38" s="1492" t="s">
        <v>502</v>
      </c>
      <c r="AD38" s="2290" t="s">
        <v>446</v>
      </c>
      <c r="AE38" s="2291"/>
      <c r="AF38" s="2290" t="s">
        <v>447</v>
      </c>
      <c r="AG38" s="2297"/>
      <c r="AH38" s="2291"/>
      <c r="AI38" s="2306"/>
      <c r="AJ38" s="2309"/>
      <c r="AK38" s="2155"/>
      <c r="AQ38" s="1164">
        <v>34</v>
      </c>
    </row>
    <row customHeight="1" ht="90.3">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492" t="s">
        <v>531</v>
      </c>
      <c r="W39" s="1231" t="s">
        <v>532</v>
      </c>
      <c r="X39" s="1231" t="s">
        <v>507</v>
      </c>
      <c r="Y39" s="1498" t="s">
        <v>457</v>
      </c>
      <c r="Z39" s="2298" t="s">
        <v>458</v>
      </c>
      <c r="AA39" s="2299"/>
      <c r="AB39" s="2307"/>
      <c r="AC39" s="1492" t="s">
        <v>531</v>
      </c>
      <c r="AD39" s="1231" t="s">
        <v>532</v>
      </c>
      <c r="AE39" s="1231" t="s">
        <v>507</v>
      </c>
      <c r="AF39" s="1498" t="s">
        <v>457</v>
      </c>
      <c r="AG39" s="2298" t="s">
        <v>458</v>
      </c>
      <c r="AH39" s="2299"/>
      <c r="AI39" s="2307"/>
      <c r="AJ39" s="2310"/>
      <c r="AK39" s="2155"/>
      <c r="AQ39" s="1164">
        <v>86</v>
      </c>
    </row>
    <row s="1650" customFormat="1" customHeight="1" ht="11.25" hidden="1">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491">
        <f>OFFSET(V40,0,-1)+1</f>
        <v>3</v>
      </c>
      <c r="W40" s="1491">
        <f>OFFSET(W40,0,-1)+1</f>
        <v>4</v>
      </c>
      <c r="X40" s="1491">
        <f>OFFSET(X40,0,-1)+1</f>
        <v>5</v>
      </c>
      <c r="Y40" s="1491">
        <f>OFFSET(Y40,0,-1)+1</f>
        <v>6</v>
      </c>
      <c r="Z40" s="2300">
        <f>OFFSET(Z40,0,-1)+1</f>
        <v>7</v>
      </c>
      <c r="AA40" s="2300"/>
      <c r="AB40" s="1491">
        <f>OFFSET(AB40,0,-2)+1</f>
        <v>8</v>
      </c>
      <c r="AC40" s="1491">
        <f>OFFSET(AC40,0,-1)+1</f>
        <v>9</v>
      </c>
      <c r="AD40" s="1491">
        <f>OFFSET(AD40,0,-1)+1</f>
        <v>10</v>
      </c>
      <c r="AE40" s="1491">
        <f>OFFSET(AE40,0,-1)+1</f>
        <v>11</v>
      </c>
      <c r="AF40" s="1491">
        <f>OFFSET(AF40,0,-1)+1</f>
        <v>12</v>
      </c>
      <c r="AG40" s="2300">
        <f>OFFSET(AG40,0,-1)+1</f>
        <v>13</v>
      </c>
      <c r="AH40" s="2300"/>
      <c r="AI40" s="1491">
        <f>OFFSET(AI40,0,-2)+1</f>
        <v>14</v>
      </c>
      <c r="AJ40" s="1254">
        <f>OFFSET(AJ40,0,-1)</f>
        <v>14</v>
      </c>
      <c r="AK40" s="1491">
        <f>OFFSET(AK40,0,-1)+1</f>
        <v>15</v>
      </c>
      <c r="AL40" s="520"/>
      <c r="AM40" s="520"/>
      <c r="AN40" s="520"/>
      <c r="AO40" s="520"/>
      <c r="AP40" s="520"/>
      <c r="AQ40" s="505">
        <v>0</v>
      </c>
    </row>
    <row customHeight="1" ht="24">
      <c r="A41" s="1372" t="s">
        <v>281</v>
      </c>
      <c r="B41" s="1372"/>
      <c r="C41" s="1372"/>
      <c r="D41" s="1372"/>
      <c r="E41" s="2286">
        <v>1</v>
      </c>
      <c r="F41" s="1372"/>
      <c r="G41" s="1372"/>
      <c r="H41" s="1372"/>
      <c r="I41" s="1372"/>
      <c r="J41" s="1372"/>
      <c r="K41" s="1372"/>
      <c r="L41" s="1373"/>
      <c r="M41" s="1374"/>
      <c r="N41" s="1374"/>
      <c r="O41" s="1374"/>
      <c r="P41" s="370"/>
      <c r="Q41" s="369"/>
      <c r="R41" s="364"/>
      <c r="S41" s="1502">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281</v>
      </c>
      <c r="B42" s="1372" t="s">
        <v>282</v>
      </c>
      <c r="C42" s="1372"/>
      <c r="D42" s="1372"/>
      <c r="E42" s="2287"/>
      <c r="F42" s="2286">
        <v>1</v>
      </c>
      <c r="G42" s="1372"/>
      <c r="H42" s="1372"/>
      <c r="I42" s="1372"/>
      <c r="J42" s="1372"/>
      <c r="K42" s="1372"/>
      <c r="L42" s="1373"/>
      <c r="M42" s="1374"/>
      <c r="N42" s="1374"/>
      <c r="O42" s="1374"/>
      <c r="P42" s="1496"/>
      <c r="Q42" s="361"/>
      <c r="R42" s="362"/>
      <c r="S42" s="1502"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281</v>
      </c>
      <c r="B43" s="1372" t="s">
        <v>282</v>
      </c>
      <c r="C43" s="1372" t="s">
        <v>283</v>
      </c>
      <c r="D43" s="1372"/>
      <c r="E43" s="2287"/>
      <c r="F43" s="2287"/>
      <c r="G43" s="2286">
        <v>1</v>
      </c>
      <c r="H43" s="1372"/>
      <c r="I43" s="1372"/>
      <c r="J43" s="1372"/>
      <c r="K43" s="1372"/>
      <c r="L43" s="1373"/>
      <c r="M43" s="1374"/>
      <c r="N43" s="1374"/>
      <c r="O43" s="1374"/>
      <c r="P43" s="363"/>
      <c r="Q43" s="361"/>
      <c r="R43" s="362"/>
      <c r="S43" s="1502" t="str">
        <f>INDEX(PT_DIFFERENTIATION_NUM_CS,MATCH(C43,PT_DIFFERENTIATION_CS_ID,0))</f>
        <v>..</v>
      </c>
      <c r="T43" s="318" t="s">
        <v>529</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530</v>
      </c>
      <c r="AM43" s="509"/>
      <c r="AN43" s="509" t="str">
        <f>IF(T43="","",T43)</f>
        <v>Наименование централизованной системы водоотведения</v>
      </c>
      <c r="AO43" s="509"/>
      <c r="AP43" s="509"/>
      <c r="AQ43" s="1164">
        <v>23</v>
      </c>
    </row>
    <row customHeight="1" ht="24">
      <c r="A44" s="1372" t="s">
        <v>281</v>
      </c>
      <c r="B44" s="1372" t="s">
        <v>282</v>
      </c>
      <c r="C44" s="1372" t="s">
        <v>283</v>
      </c>
      <c r="D44" s="1372" t="s">
        <v>533</v>
      </c>
      <c r="E44" s="2287"/>
      <c r="F44" s="2287"/>
      <c r="G44" s="2287"/>
      <c r="H44" s="2287"/>
      <c r="I44" s="2284" t="str">
        <f>S43&amp;".1"</f>
        <v>...1</v>
      </c>
      <c r="J44" s="1372"/>
      <c r="K44" s="1372"/>
      <c r="L44" s="1373"/>
      <c r="P44" s="2285">
        <v>1</v>
      </c>
      <c r="Q44" s="1490"/>
      <c r="R44" s="365"/>
      <c r="S44" s="1502"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281</v>
      </c>
      <c r="B45" s="1372" t="s">
        <v>282</v>
      </c>
      <c r="C45" s="1372" t="s">
        <v>283</v>
      </c>
      <c r="D45" s="1372" t="s">
        <v>533</v>
      </c>
      <c r="E45" s="2287"/>
      <c r="F45" s="2287"/>
      <c r="G45" s="2287"/>
      <c r="H45" s="2287"/>
      <c r="I45" s="2314"/>
      <c r="J45" s="2284" t="str">
        <f>I44&amp;".1"</f>
        <v>...1.1</v>
      </c>
      <c r="K45" s="1372"/>
      <c r="L45" s="1373" t="s">
        <v>421</v>
      </c>
      <c r="P45" s="2285"/>
      <c r="Q45" s="2285">
        <v>1</v>
      </c>
      <c r="R45" s="366"/>
      <c r="S45" s="1502"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281</v>
      </c>
      <c r="B46" s="1372" t="s">
        <v>282</v>
      </c>
      <c r="C46" s="1372" t="s">
        <v>283</v>
      </c>
      <c r="D46" s="1372" t="s">
        <v>533</v>
      </c>
      <c r="E46" s="2287"/>
      <c r="F46" s="2287"/>
      <c r="G46" s="2287"/>
      <c r="H46" s="2287"/>
      <c r="I46" s="2314"/>
      <c r="J46" s="2314"/>
      <c r="K46" s="2284" t="str">
        <f>J45&amp;".1"</f>
        <v>...1.1.1</v>
      </c>
      <c r="L46" s="1373"/>
      <c r="P46" s="2285"/>
      <c r="Q46" s="2285"/>
      <c r="R46" s="366">
        <v>1</v>
      </c>
      <c r="S46" s="1502" t="str">
        <f>$K46</f>
        <v>...1.1.1</v>
      </c>
      <c r="T46" s="1446"/>
      <c r="U46" s="309"/>
      <c r="V46" s="1369"/>
      <c r="W46" s="1369"/>
      <c r="X46" s="1370"/>
      <c r="Y46" s="2295"/>
      <c r="Z46" s="2296" t="s">
        <v>63</v>
      </c>
      <c r="AA46" s="2295"/>
      <c r="AB46" s="2296" t="s">
        <v>63</v>
      </c>
      <c r="AC46" s="760"/>
      <c r="AD46" s="760"/>
      <c r="AE46" s="1266"/>
      <c r="AF46" s="2293"/>
      <c r="AG46" s="2135" t="s">
        <v>63</v>
      </c>
      <c r="AH46" s="2315"/>
      <c r="AI46" s="2135" t="s">
        <v>19</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281</v>
      </c>
      <c r="B47" s="1372" t="s">
        <v>282</v>
      </c>
      <c r="C47" s="1372" t="s">
        <v>283</v>
      </c>
      <c r="D47" s="1372" t="s">
        <v>533</v>
      </c>
      <c r="E47" s="2287"/>
      <c r="F47" s="2287"/>
      <c r="G47" s="2287"/>
      <c r="H47" s="2287"/>
      <c r="I47" s="2314"/>
      <c r="J47" s="2314"/>
      <c r="K47" s="2284"/>
      <c r="L47" s="1373"/>
      <c r="P47" s="2285"/>
      <c r="Q47" s="2285"/>
      <c r="R47" s="366"/>
      <c r="S47" s="1499"/>
      <c r="T47" s="309"/>
      <c r="U47" s="309"/>
      <c r="V47" s="1369"/>
      <c r="W47" s="1369"/>
      <c r="X47" s="337" t="str">
        <f>Y46&amp;"-"&amp;AA46</f>
        <v>-</v>
      </c>
      <c r="Y47" s="2296"/>
      <c r="Z47" s="2296"/>
      <c r="AA47" s="2296"/>
      <c r="AB47" s="2296"/>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281</v>
      </c>
      <c r="B48" s="1372" t="s">
        <v>282</v>
      </c>
      <c r="C48" s="1372" t="s">
        <v>283</v>
      </c>
      <c r="D48" s="1372" t="s">
        <v>533</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281</v>
      </c>
      <c r="B49" s="1372" t="s">
        <v>282</v>
      </c>
      <c r="C49" s="1372" t="s">
        <v>283</v>
      </c>
      <c r="D49" s="1372" t="s">
        <v>533</v>
      </c>
      <c r="E49" s="2287"/>
      <c r="F49" s="2287"/>
      <c r="G49" s="2287"/>
      <c r="H49" s="2287"/>
      <c r="I49" s="2284"/>
      <c r="J49" s="1372"/>
      <c r="K49" s="1372"/>
      <c r="L49" s="1373"/>
      <c r="P49" s="2285"/>
      <c r="Q49" s="1490"/>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281</v>
      </c>
      <c r="B50" s="1372" t="s">
        <v>282</v>
      </c>
      <c r="C50" s="1372" t="s">
        <v>283</v>
      </c>
      <c r="D50" s="1372" t="s">
        <v>533</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281</v>
      </c>
      <c r="B51" s="1352" t="s">
        <v>282</v>
      </c>
      <c r="C51" s="1323"/>
      <c r="D51" s="1323"/>
      <c r="E51" s="2287"/>
      <c r="F51" s="2286"/>
      <c r="G51" s="1323"/>
      <c r="H51" s="1323"/>
      <c r="I51" s="1323"/>
      <c r="J51" s="1323"/>
      <c r="K51" s="1323"/>
      <c r="L51" s="1503"/>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281</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503"/>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87">
        <v>0</v>
      </c>
      <c r="M58" s="1371">
        <v>0</v>
      </c>
      <c r="N58" s="1371">
        <v>0</v>
      </c>
      <c r="O58" s="1371">
        <v>0</v>
      </c>
      <c r="P58" s="1482">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238F68-7FF1-22AC-3668-0.F7F4A469}"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4" style="1644" width="24.7109375" hidden="1" customWidth="1"/>
    <col min="25" max="25" style="1644" width="11.7109375" hidden="1" customWidth="1"/>
    <col min="26" max="26" style="1644" width="3.7109375" hidden="1" customWidth="1"/>
    <col min="27" max="27" style="1644" width="11.7109375" hidden="1" customWidth="1"/>
    <col min="28" max="28" style="1644" width="8.57421875" hidden="1" customWidth="1"/>
    <col min="29" max="29" style="1644" width="24.7109375" customWidth="1"/>
    <col min="30" max="31" style="1644" width="24.00390625" customWidth="1"/>
    <col min="32" max="32" style="1644" width="11.00390625" customWidth="1"/>
    <col min="33" max="33" style="1644" width="3.7109375" customWidth="1"/>
    <col min="34" max="34" style="1644" width="11.00390625" customWidth="1"/>
    <col min="35" max="35" style="1644" width="8.57421875" hidden="1" customWidth="1"/>
    <col min="36" max="36" style="1644" width="4.00390625" customWidth="1"/>
    <col min="37" max="37" style="1644" width="115.00390625" customWidth="1"/>
    <col min="38" max="42" style="1651" width="10.00390625" customWidth="1"/>
    <col min="43" max="43" style="1644" width="10.57421875" hidden="1"/>
  </cols>
  <sheetData>
    <row customHeight="1" ht="22.5" hidden="1">
      <c r="X1" s="336"/>
      <c r="Y1" s="336"/>
      <c r="AE1" s="336"/>
      <c r="AF1" s="336"/>
      <c r="AQ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502">
        <f>INDEX(PT_DIFFERENTIATION_NUM_NTAR,MATCH(A2,PT_DIFFERENTIATION_NTAR_ID,0))</f>
      </c>
      <c r="T2" s="307" t="s">
        <v>140</v>
      </c>
      <c r="U2" s="309"/>
      <c r="V2" s="2270"/>
      <c r="W2" s="2271"/>
      <c r="X2" s="2271"/>
      <c r="Y2" s="2271"/>
      <c r="Z2" s="2271"/>
      <c r="AA2" s="2271"/>
      <c r="AB2" s="2272"/>
      <c r="AC2" s="2270">
        <f>INDEX(PT_DIFFERENTIATION_NTAR,MATCH(A2,PT_DIFFERENTIATION_NTAR_ID,0))</f>
      </c>
      <c r="AD2" s="2271"/>
      <c r="AE2" s="2271"/>
      <c r="AF2" s="2271"/>
      <c r="AG2" s="2271"/>
      <c r="AH2" s="2271"/>
      <c r="AI2" s="2271"/>
      <c r="AJ2" s="2272"/>
      <c r="AK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9"/>
      <c r="AN2" s="509" t="str">
        <f>IF(T2="","",T2)</f>
        <v>Наименование тарифа</v>
      </c>
      <c r="AO2" s="509"/>
      <c r="AP2" s="509"/>
      <c r="AQ2" s="1164">
        <v>0</v>
      </c>
    </row>
    <row customHeight="1" ht="23.25" hidden="1">
      <c r="A3" s="1372"/>
      <c r="B3" s="1372"/>
      <c r="C3" s="1372"/>
      <c r="D3" s="1372"/>
      <c r="E3" s="2287"/>
      <c r="F3" s="2286">
        <v>1</v>
      </c>
      <c r="G3" s="1372"/>
      <c r="H3" s="1372"/>
      <c r="I3" s="1372"/>
      <c r="J3" s="1372"/>
      <c r="K3" s="1372"/>
      <c r="L3" s="1373"/>
      <c r="M3" s="1374"/>
      <c r="N3" s="1374"/>
      <c r="O3" s="1374"/>
      <c r="P3" s="1496"/>
      <c r="Q3" s="361"/>
      <c r="R3" s="362"/>
      <c r="S3" s="1502">
        <f>INDEX(PT_DIFFERENTIATION_NUM_TER,MATCH(B3,PT_DIFFERENTIATION_TER_ID,0))</f>
      </c>
      <c r="T3" s="317" t="s">
        <v>412</v>
      </c>
      <c r="U3" s="309"/>
      <c r="V3" s="2270"/>
      <c r="W3" s="2271"/>
      <c r="X3" s="2271"/>
      <c r="Y3" s="2271"/>
      <c r="Z3" s="2271"/>
      <c r="AA3" s="2271"/>
      <c r="AB3" s="2272"/>
      <c r="AC3" s="2270">
        <f>INDEX(PT_DIFFERENTIATION_TER,MATCH(B3,PT_DIFFERENTIATION_TER_ID,0))</f>
      </c>
      <c r="AD3" s="2271"/>
      <c r="AE3" s="2271"/>
      <c r="AF3" s="2271"/>
      <c r="AG3" s="2271"/>
      <c r="AH3" s="2271"/>
      <c r="AI3" s="2271"/>
      <c r="AJ3" s="2272"/>
      <c r="AK3" s="1267" t="s">
        <v>413</v>
      </c>
      <c r="AM3" s="509"/>
      <c r="AN3" s="509" t="str">
        <f>IF(T3="","",T3)</f>
        <v>Территория действия тарифа</v>
      </c>
      <c r="AO3" s="509"/>
      <c r="AP3" s="509"/>
      <c r="AQ3" s="1164">
        <v>0</v>
      </c>
    </row>
    <row customHeight="1" ht="23.25" hidden="1">
      <c r="A4" s="1372"/>
      <c r="B4" s="1372"/>
      <c r="C4" s="1372"/>
      <c r="D4" s="1372"/>
      <c r="E4" s="2287"/>
      <c r="F4" s="2287"/>
      <c r="G4" s="2286">
        <v>1</v>
      </c>
      <c r="H4" s="1372"/>
      <c r="I4" s="1372"/>
      <c r="J4" s="1372"/>
      <c r="K4" s="1372"/>
      <c r="L4" s="1373"/>
      <c r="M4" s="1374"/>
      <c r="N4" s="1374"/>
      <c r="O4" s="1374"/>
      <c r="P4" s="363"/>
      <c r="Q4" s="361"/>
      <c r="R4" s="362"/>
      <c r="S4" s="1502">
        <f>INDEX(PT_DIFFERENTIATION_NUM_CS,MATCH(C4,PT_DIFFERENTIATION_CS_ID,0))</f>
      </c>
      <c r="T4" s="318" t="s">
        <v>529</v>
      </c>
      <c r="U4" s="309"/>
      <c r="V4" s="2270"/>
      <c r="W4" s="2271"/>
      <c r="X4" s="2271"/>
      <c r="Y4" s="2271"/>
      <c r="Z4" s="2271"/>
      <c r="AA4" s="2271"/>
      <c r="AB4" s="2272"/>
      <c r="AC4" s="2270">
        <f>INDEX(PT_DIFFERENTIATION_CS,MATCH(C4,PT_DIFFERENTIATION_CS_ID,0))</f>
      </c>
      <c r="AD4" s="2271"/>
      <c r="AE4" s="2271"/>
      <c r="AF4" s="2271"/>
      <c r="AG4" s="2271"/>
      <c r="AH4" s="2271"/>
      <c r="AI4" s="2271"/>
      <c r="AJ4" s="2272"/>
      <c r="AK4" s="1267" t="s">
        <v>530</v>
      </c>
      <c r="AM4" s="509"/>
      <c r="AN4" s="509" t="str">
        <f>IF(T4="","",T4)</f>
        <v>Наименование централизованной системы водоотведения</v>
      </c>
      <c r="AO4" s="509"/>
      <c r="AP4" s="509"/>
      <c r="AQ4" s="1164">
        <v>0</v>
      </c>
    </row>
    <row customHeight="1" ht="23.25" hidden="1">
      <c r="A5" s="1372"/>
      <c r="B5" s="1372"/>
      <c r="C5" s="1372"/>
      <c r="D5" s="1372"/>
      <c r="E5" s="2287"/>
      <c r="F5" s="2287"/>
      <c r="G5" s="2287"/>
      <c r="H5" s="2287"/>
      <c r="I5" s="2284">
        <f>S4&amp;".1"</f>
      </c>
      <c r="J5" s="1372"/>
      <c r="K5" s="1372"/>
      <c r="L5" s="1373"/>
      <c r="P5" s="2285">
        <v>1</v>
      </c>
      <c r="Q5" s="1490"/>
      <c r="R5" s="365"/>
      <c r="S5" s="1502">
        <f>$I5</f>
      </c>
      <c r="T5" s="294" t="s">
        <v>496</v>
      </c>
      <c r="U5" s="309"/>
      <c r="V5" s="2378"/>
      <c r="W5" s="2379"/>
      <c r="X5" s="2379"/>
      <c r="Y5" s="2379"/>
      <c r="Z5" s="2379"/>
      <c r="AA5" s="2379"/>
      <c r="AB5" s="2380"/>
      <c r="AC5" s="2381"/>
      <c r="AD5" s="2382"/>
      <c r="AE5" s="2382"/>
      <c r="AF5" s="2382"/>
      <c r="AG5" s="2382"/>
      <c r="AH5" s="2382"/>
      <c r="AI5" s="2382"/>
      <c r="AJ5" s="2383"/>
      <c r="AK5" s="1267" t="s">
        <v>497</v>
      </c>
      <c r="AM5" s="509"/>
      <c r="AN5" s="509" t="str">
        <f>IF(T5="","",T5)</f>
        <v>Наименование признака дифференциации</v>
      </c>
      <c r="AO5" s="509"/>
      <c r="AP5" s="509"/>
      <c r="AQ5" s="1164">
        <v>0</v>
      </c>
    </row>
    <row customHeight="1" ht="23.25" hidden="1">
      <c r="A6" s="1372"/>
      <c r="B6" s="1372"/>
      <c r="C6" s="1372"/>
      <c r="D6" s="1372"/>
      <c r="E6" s="2287"/>
      <c r="F6" s="2287"/>
      <c r="G6" s="2287"/>
      <c r="H6" s="2287"/>
      <c r="I6" s="2314"/>
      <c r="J6" s="2284">
        <f>I5&amp;".1"</f>
      </c>
      <c r="K6" s="1372"/>
      <c r="L6" s="1373" t="s">
        <v>421</v>
      </c>
      <c r="P6" s="2285"/>
      <c r="Q6" s="2285">
        <v>1</v>
      </c>
      <c r="R6" s="366"/>
      <c r="S6" s="1502">
        <f>$J6</f>
      </c>
      <c r="T6" s="295" t="s">
        <v>422</v>
      </c>
      <c r="U6" s="309"/>
      <c r="V6" s="2273"/>
      <c r="W6" s="2274"/>
      <c r="X6" s="2274"/>
      <c r="Y6" s="2274"/>
      <c r="Z6" s="2274"/>
      <c r="AA6" s="2274"/>
      <c r="AB6" s="2275"/>
      <c r="AC6" s="2273"/>
      <c r="AD6" s="2274"/>
      <c r="AE6" s="2274"/>
      <c r="AF6" s="2274"/>
      <c r="AG6" s="2274"/>
      <c r="AH6" s="2274"/>
      <c r="AI6" s="2274"/>
      <c r="AJ6" s="2275"/>
      <c r="AK6" s="1316" t="s">
        <v>498</v>
      </c>
      <c r="AM6" s="509"/>
      <c r="AN6" s="509" t="str">
        <f>IF(T6="","",T6)</f>
        <v>Группа потребителей</v>
      </c>
      <c r="AO6" s="509"/>
      <c r="AP6" s="509"/>
      <c r="AQ6" s="1164">
        <v>0</v>
      </c>
    </row>
    <row customHeight="1" ht="23.25" hidden="1">
      <c r="A7" s="1372"/>
      <c r="B7" s="1372"/>
      <c r="C7" s="1372"/>
      <c r="D7" s="1372"/>
      <c r="E7" s="2287"/>
      <c r="F7" s="2287"/>
      <c r="G7" s="2287"/>
      <c r="H7" s="2287"/>
      <c r="I7" s="2314"/>
      <c r="J7" s="2314"/>
      <c r="K7" s="2284">
        <f>J6&amp;".1"</f>
      </c>
      <c r="L7" s="1373"/>
      <c r="P7" s="2285"/>
      <c r="Q7" s="2285"/>
      <c r="R7" s="366">
        <v>1</v>
      </c>
      <c r="S7" s="1502">
        <f>$K7</f>
      </c>
      <c r="T7" s="1446"/>
      <c r="U7" s="309"/>
      <c r="V7" s="760"/>
      <c r="W7" s="760"/>
      <c r="X7" s="1266"/>
      <c r="Y7" s="2293"/>
      <c r="Z7" s="2135" t="s">
        <v>63</v>
      </c>
      <c r="AA7" s="2293"/>
      <c r="AB7" s="2135" t="s">
        <v>63</v>
      </c>
      <c r="AC7" s="760"/>
      <c r="AD7" s="760"/>
      <c r="AE7" s="1266"/>
      <c r="AF7" s="2293"/>
      <c r="AG7" s="2135" t="s">
        <v>63</v>
      </c>
      <c r="AH7" s="2315"/>
      <c r="AI7" s="2135" t="s">
        <v>63</v>
      </c>
      <c r="AJ7" s="1447"/>
      <c r="AK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20">
        <f>STRCHECKDATE(V8:AJ8)</f>
      </c>
      <c r="AM7" s="509"/>
      <c r="AN7" s="509" t="str">
        <f>IF(T7="","",T7)</f>
        <v/>
      </c>
      <c r="AO7" s="509"/>
      <c r="AP7" s="509"/>
      <c r="AQ7" s="1164">
        <v>0</v>
      </c>
    </row>
    <row customHeight="1" ht="14.25" hidden="1">
      <c r="A8" s="1372"/>
      <c r="B8" s="1372"/>
      <c r="C8" s="1372"/>
      <c r="D8" s="1372"/>
      <c r="E8" s="2287"/>
      <c r="F8" s="2287"/>
      <c r="G8" s="2287"/>
      <c r="H8" s="2287"/>
      <c r="I8" s="2314"/>
      <c r="J8" s="2314"/>
      <c r="K8" s="2284"/>
      <c r="L8" s="1373"/>
      <c r="P8" s="2285"/>
      <c r="Q8" s="2285"/>
      <c r="R8" s="366"/>
      <c r="S8" s="1499"/>
      <c r="T8" s="309"/>
      <c r="U8" s="309"/>
      <c r="V8" s="334"/>
      <c r="W8" s="334"/>
      <c r="X8" s="337" t="str">
        <f>Y7&amp;"-"&amp;AA7</f>
        <v>-</v>
      </c>
      <c r="Y8" s="2294"/>
      <c r="Z8" s="2135"/>
      <c r="AA8" s="2294"/>
      <c r="AB8" s="2135"/>
      <c r="AC8" s="334"/>
      <c r="AD8" s="334"/>
      <c r="AE8" s="337" t="str">
        <f>AF7&amp;"-"&amp;AH7</f>
        <v>-</v>
      </c>
      <c r="AF8" s="2294"/>
      <c r="AG8" s="2135"/>
      <c r="AH8" s="2316"/>
      <c r="AI8" s="2135"/>
      <c r="AJ8" s="1448"/>
      <c r="AK8" s="2377"/>
      <c r="AM8" s="509"/>
      <c r="AN8" s="509" t="str">
        <f>IF(T8="","",T8)</f>
        <v/>
      </c>
      <c r="AO8" s="509"/>
      <c r="AP8" s="509"/>
      <c r="AQ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376"/>
      <c r="X9" s="376"/>
      <c r="Y9" s="376"/>
      <c r="Z9" s="376"/>
      <c r="AA9" s="376"/>
      <c r="AB9" s="376"/>
      <c r="AC9" s="376"/>
      <c r="AD9" s="376"/>
      <c r="AE9" s="376"/>
      <c r="AF9" s="376"/>
      <c r="AG9" s="376"/>
      <c r="AH9" s="376"/>
      <c r="AI9" s="376"/>
      <c r="AJ9" s="376"/>
      <c r="AK9" s="1267" t="s">
        <v>500</v>
      </c>
      <c r="AM9" s="509"/>
      <c r="AN9" s="509" t="str">
        <f>IF(T9="","",T9)</f>
        <v>Добавить значение признака дифференциации</v>
      </c>
      <c r="AO9" s="509"/>
      <c r="AP9" s="509"/>
      <c r="AQ9" s="1164">
        <v>0</v>
      </c>
    </row>
    <row customHeight="1" ht="21" hidden="1">
      <c r="A10" s="1372"/>
      <c r="B10" s="1372"/>
      <c r="C10" s="1372"/>
      <c r="D10" s="1372"/>
      <c r="E10" s="2287"/>
      <c r="F10" s="2287"/>
      <c r="G10" s="2287"/>
      <c r="H10" s="2287"/>
      <c r="I10" s="2284"/>
      <c r="J10" s="1372"/>
      <c r="K10" s="1372"/>
      <c r="L10" s="1373"/>
      <c r="P10" s="2285"/>
      <c r="Q10" s="1490"/>
      <c r="R10" s="365"/>
      <c r="S10" s="1287"/>
      <c r="T10" s="374" t="s">
        <v>427</v>
      </c>
      <c r="U10" s="376"/>
      <c r="V10" s="376"/>
      <c r="W10" s="376"/>
      <c r="X10" s="376"/>
      <c r="Y10" s="376"/>
      <c r="Z10" s="376"/>
      <c r="AA10" s="376"/>
      <c r="AB10" s="375"/>
      <c r="AC10" s="376"/>
      <c r="AD10" s="376"/>
      <c r="AE10" s="376"/>
      <c r="AF10" s="376"/>
      <c r="AG10" s="376"/>
      <c r="AH10" s="376"/>
      <c r="AI10" s="375"/>
      <c r="AJ10" s="376"/>
      <c r="AK10" s="1449"/>
      <c r="AM10" s="509"/>
      <c r="AN10" s="509" t="str">
        <f>IF(T10="","",T10)</f>
        <v>Добавить группу потребителей</v>
      </c>
      <c r="AO10" s="509"/>
      <c r="AP10" s="509"/>
      <c r="AQ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376"/>
      <c r="X11" s="376"/>
      <c r="Y11" s="376"/>
      <c r="Z11" s="376"/>
      <c r="AA11" s="376"/>
      <c r="AB11" s="375"/>
      <c r="AC11" s="376"/>
      <c r="AD11" s="376"/>
      <c r="AE11" s="376"/>
      <c r="AF11" s="376"/>
      <c r="AG11" s="376"/>
      <c r="AH11" s="376"/>
      <c r="AI11" s="375"/>
      <c r="AJ11" s="376"/>
      <c r="AK11" s="312"/>
      <c r="AM11" s="509"/>
      <c r="AN11" s="509" t="str">
        <f>IF(T11="","",T11)</f>
        <v>Добавить наименование признака дифференциации</v>
      </c>
      <c r="AO11" s="509"/>
      <c r="AP11" s="509"/>
      <c r="AQ11" s="1164">
        <v>0</v>
      </c>
    </row>
    <row s="1651" customFormat="1" customHeight="1" ht="14.25" hidden="1">
      <c r="A12" s="1352"/>
      <c r="B12" s="1352"/>
      <c r="C12" s="1323"/>
      <c r="D12" s="1323"/>
      <c r="E12" s="2287"/>
      <c r="F12" s="2286"/>
      <c r="G12" s="1323"/>
      <c r="H12" s="1323"/>
      <c r="I12" s="1323"/>
      <c r="J12" s="1323"/>
      <c r="K12" s="1323"/>
      <c r="L12" s="1503"/>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M12" s="798"/>
      <c r="AN12" s="798" t="str">
        <f>IF(T12="","",T12)</f>
        <v>Добавить централизованную систему для дифференциации</v>
      </c>
      <c r="AO12" s="798"/>
      <c r="AP12" s="798"/>
      <c r="AQ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M13" s="509"/>
      <c r="AN13" s="509" t="str">
        <f>IF(T13="","",T13)</f>
        <v>Добавить территорию для дифференциации</v>
      </c>
      <c r="AO13" s="509"/>
      <c r="AP13" s="509"/>
      <c r="AQ13" s="520">
        <v>0</v>
      </c>
    </row>
    <row customHeight="1" ht="14.25" hidden="1">
      <c r="AB14" s="336"/>
      <c r="AI14" s="336"/>
      <c r="AQ14" s="1164">
        <v>0</v>
      </c>
    </row>
    <row customHeight="1" ht="14.25" hidden="1">
      <c r="AC15" s="1369"/>
      <c r="AD15" s="1369"/>
      <c r="AE15" s="1370"/>
      <c r="AF15" s="2295"/>
      <c r="AG15" s="2296" t="s">
        <v>63</v>
      </c>
      <c r="AH15" s="2295"/>
      <c r="AI15" s="2296" t="s">
        <v>63</v>
      </c>
      <c r="AQ15" s="1164">
        <v>0</v>
      </c>
    </row>
    <row customHeight="1" ht="14.25" hidden="1">
      <c r="AC16" s="1369"/>
      <c r="AD16" s="1369"/>
      <c r="AE16" s="337" t="str">
        <f>AF15&amp;"-"&amp;AH15</f>
        <v>-</v>
      </c>
      <c r="AF16" s="2296"/>
      <c r="AG16" s="2296"/>
      <c r="AH16" s="2296"/>
      <c r="AI16" s="2296"/>
      <c r="AQ16" s="1164">
        <v>0</v>
      </c>
    </row>
    <row customHeight="1" ht="14.25" hidden="1">
      <c r="AI17" s="336"/>
      <c r="AQ17" s="1164">
        <v>0</v>
      </c>
    </row>
    <row s="1375" customFormat="1" customHeight="1" ht="22.5" hidden="1">
      <c r="L18" s="1487"/>
      <c r="M18" s="1371"/>
      <c r="N18" s="1371"/>
      <c r="O18" s="1376" t="s">
        <v>432</v>
      </c>
      <c r="P18" s="1371"/>
      <c r="Q18" s="1380"/>
      <c r="R18" s="1380"/>
      <c r="S18" s="738"/>
      <c r="Y18" s="1376"/>
      <c r="AA18" s="1376"/>
      <c r="AB18" s="1375"/>
      <c r="AF18" s="1376"/>
      <c r="AH18" s="1376"/>
      <c r="AI18" s="1375"/>
      <c r="AL18" s="520"/>
      <c r="AM18" s="520"/>
      <c r="AN18" s="520"/>
      <c r="AO18" s="520"/>
      <c r="AP18" s="520"/>
      <c r="AQ18" s="1169">
        <v>0</v>
      </c>
    </row>
    <row s="1375" customFormat="1" customHeight="1" ht="14.25" hidden="1">
      <c r="L19" s="1487"/>
      <c r="M19" s="1371"/>
      <c r="N19" s="1371"/>
      <c r="O19" s="1371"/>
      <c r="P19" s="1371"/>
      <c r="Q19" s="1380"/>
      <c r="R19" s="1380"/>
      <c r="S19" s="738"/>
      <c r="AB19" s="1375"/>
      <c r="AI19" s="1375"/>
      <c r="AL19" s="520"/>
      <c r="AM19" s="520"/>
      <c r="AN19" s="520"/>
      <c r="AO19" s="520"/>
      <c r="AP19" s="520"/>
      <c r="AQ19" s="1169">
        <v>0</v>
      </c>
    </row>
    <row s="1375" customFormat="1" customHeight="1" ht="12" hidden="1">
      <c r="L20" s="1487"/>
      <c r="M20" s="1371"/>
      <c r="N20" s="1371"/>
      <c r="O20" s="1373" t="s">
        <v>433</v>
      </c>
      <c r="P20" s="1371"/>
      <c r="Q20" s="1451"/>
      <c r="R20" s="1451"/>
      <c r="S20" s="738"/>
      <c r="T20" s="1169" t="s">
        <v>434</v>
      </c>
      <c r="Z20" s="195" t="s">
        <v>435</v>
      </c>
      <c r="AB20" s="195" t="s">
        <v>436</v>
      </c>
      <c r="AC20" s="1169" t="s">
        <v>434</v>
      </c>
      <c r="AG20" s="195" t="s">
        <v>437</v>
      </c>
      <c r="AI20" s="195" t="s">
        <v>436</v>
      </c>
      <c r="AQ20" s="1169">
        <v>0</v>
      </c>
    </row>
    <row customHeight="1" ht="14.25" hidden="1">
      <c r="O21" s="1373"/>
      <c r="AQ21" s="1164">
        <v>0</v>
      </c>
    </row>
    <row customHeight="1" ht="14.25" hidden="1">
      <c r="O22" s="1373"/>
      <c r="AQ22" s="1164">
        <v>0</v>
      </c>
    </row>
    <row customHeight="1" ht="14.699999999999998">
      <c r="Q23" s="385"/>
      <c r="R23" s="385"/>
      <c r="S23" s="1284"/>
      <c r="T23" s="372"/>
      <c r="U23" s="372"/>
      <c r="V23" s="518"/>
      <c r="W23" s="518"/>
      <c r="X23" s="518"/>
      <c r="Y23" s="518"/>
      <c r="Z23" s="518"/>
      <c r="AA23" s="518"/>
      <c r="AB23" s="518"/>
      <c r="AC23" s="518"/>
      <c r="AD23" s="518"/>
      <c r="AE23" s="518"/>
      <c r="AF23" s="518"/>
      <c r="AG23" s="518"/>
      <c r="AH23" s="518"/>
      <c r="AI23" s="518"/>
      <c r="AQ23" s="1164">
        <v>14</v>
      </c>
    </row>
    <row customHeight="1" ht="14.699999999999998">
      <c r="Q24" s="385"/>
      <c r="R24" s="385"/>
      <c r="S24" s="227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76"/>
      <c r="U24" s="2276"/>
      <c r="V24" s="2276"/>
      <c r="W24" s="2276"/>
      <c r="X24" s="2276"/>
      <c r="Y24" s="2276"/>
      <c r="Z24" s="2276"/>
      <c r="AA24" s="2276"/>
      <c r="AB24" s="2276"/>
      <c r="AC24" s="2276"/>
      <c r="AD24" s="2276"/>
      <c r="AE24" s="2276"/>
      <c r="AF24" s="2276"/>
      <c r="AG24" s="2276"/>
      <c r="AH24" s="2276"/>
      <c r="AI24" s="1252"/>
      <c r="AQ24" s="1164">
        <v>14</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1252"/>
      <c r="AQ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518"/>
      <c r="AQ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335"/>
      <c r="AC27" s="2279" t="str">
        <f>IF(TITLE_NAME_OR_PR_CHANGE="",IF(TITLE_NAME_OR_PR="","",TITLE_NAME_OR_PR),TITLE_NAME_OR_PR_CHANGE)</f>
        <v/>
      </c>
      <c r="AD27" s="2279"/>
      <c r="AE27" s="2279"/>
      <c r="AF27" s="2279"/>
      <c r="AG27" s="2279"/>
      <c r="AH27" s="2279"/>
      <c r="AI27" s="335"/>
      <c r="AJ27" s="335"/>
      <c r="AK27" s="289"/>
      <c r="AL27" s="377"/>
      <c r="AM27" s="377"/>
      <c r="AN27" s="377"/>
      <c r="AO27" s="377"/>
      <c r="AP27" s="377"/>
      <c r="AQ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335"/>
      <c r="AC28" s="2292" t="str">
        <f>IF(TITLE_DATE_PR_CHANGE="",IF(TITLE_DATE_PR="","",TITLE_DATE_PR),TITLE_DATE_PR_CHANGE)</f>
        <v/>
      </c>
      <c r="AD28" s="2292"/>
      <c r="AE28" s="2292"/>
      <c r="AF28" s="2292"/>
      <c r="AG28" s="2292"/>
      <c r="AH28" s="2292"/>
      <c r="AI28" s="335"/>
      <c r="AJ28" s="335"/>
      <c r="AK28" s="289"/>
      <c r="AL28" s="377"/>
      <c r="AM28" s="377"/>
      <c r="AN28" s="377"/>
      <c r="AO28" s="377"/>
      <c r="AP28" s="377"/>
      <c r="AQ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335"/>
      <c r="AC29" s="2279" t="str">
        <f>IF(TITLE_NUMBER_PR_CHANGE="",IF(TITLE_NUMBER_PR="","",TITLE_NUMBER_PR),TITLE_NUMBER_PR_CHANGE)</f>
        <v/>
      </c>
      <c r="AD29" s="2279"/>
      <c r="AE29" s="2279"/>
      <c r="AF29" s="2279"/>
      <c r="AG29" s="2279"/>
      <c r="AH29" s="2279"/>
      <c r="AI29" s="335"/>
      <c r="AJ29" s="335"/>
      <c r="AK29" s="289"/>
      <c r="AL29" s="377"/>
      <c r="AM29" s="377"/>
      <c r="AN29" s="377"/>
      <c r="AO29" s="377"/>
      <c r="AP29" s="377"/>
      <c r="AQ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335"/>
      <c r="AC30" s="2279" t="str">
        <f>IF(TITLE_IST_PUB_CHANGE="",IF(TITLE_IST_PUB="","",TITLE_IST_PUB),TITLE_IST_PUB_CHANGE)</f>
        <v/>
      </c>
      <c r="AD30" s="2279"/>
      <c r="AE30" s="2279"/>
      <c r="AF30" s="2279"/>
      <c r="AG30" s="2279"/>
      <c r="AH30" s="2279"/>
      <c r="AI30" s="335"/>
      <c r="AJ30" s="335"/>
      <c r="AK30" s="289"/>
      <c r="AL30" s="377"/>
      <c r="AM30" s="377"/>
      <c r="AN30" s="377"/>
      <c r="AO30" s="377"/>
      <c r="AP30" s="377"/>
      <c r="AQ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518"/>
      <c r="AQ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335"/>
      <c r="AC32" s="2292" t="str">
        <f>IF(TITLE_DATE_PR_CHANGE="",IF(TITLE_DATE_PR="","",TITLE_DATE_PR),TITLE_DATE_PR_CHANGE)</f>
        <v/>
      </c>
      <c r="AD32" s="2292"/>
      <c r="AE32" s="2292"/>
      <c r="AF32" s="2292"/>
      <c r="AG32" s="2292"/>
      <c r="AH32" s="2292"/>
      <c r="AI32" s="335"/>
      <c r="AJ32" s="335"/>
      <c r="AK32" s="289"/>
      <c r="AL32" s="377"/>
      <c r="AM32" s="377"/>
      <c r="AN32" s="377"/>
      <c r="AO32" s="377"/>
      <c r="AP32" s="377"/>
      <c r="AQ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335"/>
      <c r="AC33" s="2279" t="str">
        <f>IF(TITLE_NUMBER_PR_CHANGE="",IF(TITLE_NUMBER_PR="","",TITLE_NUMBER_PR),TITLE_NUMBER_PR_CHANGE)</f>
        <v/>
      </c>
      <c r="AD33" s="2279"/>
      <c r="AE33" s="2279"/>
      <c r="AF33" s="2279"/>
      <c r="AG33" s="2279"/>
      <c r="AH33" s="2279"/>
      <c r="AI33" s="335"/>
      <c r="AJ33" s="335"/>
      <c r="AK33" s="289"/>
      <c r="AL33" s="377"/>
      <c r="AM33" s="377"/>
      <c r="AN33" s="377"/>
      <c r="AO33" s="377"/>
      <c r="AP33" s="377"/>
      <c r="AQ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335"/>
      <c r="X34" s="335"/>
      <c r="Y34" s="335"/>
      <c r="Z34" s="335"/>
      <c r="AA34" s="335"/>
      <c r="AB34" s="287" t="s">
        <v>438</v>
      </c>
      <c r="AC34" s="335"/>
      <c r="AD34" s="335"/>
      <c r="AE34" s="335"/>
      <c r="AF34" s="335"/>
      <c r="AG34" s="335"/>
      <c r="AH34" s="335"/>
      <c r="AI34" s="287" t="s">
        <v>438</v>
      </c>
      <c r="AL34" s="377"/>
      <c r="AM34" s="377"/>
      <c r="AN34" s="377"/>
      <c r="AO34" s="377"/>
      <c r="AP34" s="377"/>
      <c r="AQ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Q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t="s">
        <v>316</v>
      </c>
      <c r="AQ36" s="1164">
        <v>14</v>
      </c>
    </row>
    <row customHeight="1" ht="14.699999999999998">
      <c r="Q37" s="385"/>
      <c r="R37" s="385"/>
      <c r="S37" s="2301" t="s">
        <v>89</v>
      </c>
      <c r="T37" s="2237" t="s">
        <v>439</v>
      </c>
      <c r="U37" s="310"/>
      <c r="V37" s="2302" t="s">
        <v>440</v>
      </c>
      <c r="W37" s="2303"/>
      <c r="X37" s="2303"/>
      <c r="Y37" s="2303"/>
      <c r="Z37" s="2303"/>
      <c r="AA37" s="2304"/>
      <c r="AB37" s="2305" t="s">
        <v>441</v>
      </c>
      <c r="AC37" s="2302" t="s">
        <v>440</v>
      </c>
      <c r="AD37" s="2303"/>
      <c r="AE37" s="2303"/>
      <c r="AF37" s="2303"/>
      <c r="AG37" s="2303"/>
      <c r="AH37" s="2304"/>
      <c r="AI37" s="2305" t="s">
        <v>442</v>
      </c>
      <c r="AJ37" s="2308" t="s">
        <v>443</v>
      </c>
      <c r="AK37" s="2155"/>
      <c r="AQ37" s="1164">
        <v>14</v>
      </c>
    </row>
    <row customHeight="1" ht="35.699999999999996">
      <c r="Q38" s="385"/>
      <c r="R38" s="385"/>
      <c r="S38" s="2301"/>
      <c r="T38" s="2237"/>
      <c r="U38" s="1040"/>
      <c r="V38" s="1492" t="s">
        <v>502</v>
      </c>
      <c r="W38" s="2290" t="s">
        <v>446</v>
      </c>
      <c r="X38" s="2291"/>
      <c r="Y38" s="2290" t="s">
        <v>447</v>
      </c>
      <c r="Z38" s="2297"/>
      <c r="AA38" s="2291"/>
      <c r="AB38" s="2306"/>
      <c r="AC38" s="1492" t="s">
        <v>502</v>
      </c>
      <c r="AD38" s="2290" t="s">
        <v>446</v>
      </c>
      <c r="AE38" s="2291"/>
      <c r="AF38" s="2290" t="s">
        <v>447</v>
      </c>
      <c r="AG38" s="2297"/>
      <c r="AH38" s="2291"/>
      <c r="AI38" s="2306"/>
      <c r="AJ38" s="2309"/>
      <c r="AK38" s="2155"/>
      <c r="AQ38" s="1164">
        <v>34</v>
      </c>
    </row>
    <row customHeight="1" ht="90.3">
      <c r="A39" s="1379"/>
      <c r="B39" s="1379" t="s">
        <v>152</v>
      </c>
      <c r="C39" s="1379" t="s">
        <v>153</v>
      </c>
      <c r="D39" s="1379" t="s">
        <v>154</v>
      </c>
      <c r="E39" s="1373" t="s">
        <v>448</v>
      </c>
      <c r="F39" s="1373" t="s">
        <v>449</v>
      </c>
      <c r="G39" s="1373" t="s">
        <v>450</v>
      </c>
      <c r="H39" s="1373"/>
      <c r="I39" s="1373" t="s">
        <v>503</v>
      </c>
      <c r="J39" s="1373" t="s">
        <v>453</v>
      </c>
      <c r="K39" s="1373" t="s">
        <v>504</v>
      </c>
      <c r="L39" s="1373" t="s">
        <v>433</v>
      </c>
      <c r="Q39" s="385"/>
      <c r="R39" s="385"/>
      <c r="S39" s="2301"/>
      <c r="T39" s="2237"/>
      <c r="U39" s="311"/>
      <c r="V39" s="1492" t="s">
        <v>531</v>
      </c>
      <c r="W39" s="1231" t="s">
        <v>532</v>
      </c>
      <c r="X39" s="1231" t="s">
        <v>507</v>
      </c>
      <c r="Y39" s="1498" t="s">
        <v>457</v>
      </c>
      <c r="Z39" s="2298" t="s">
        <v>458</v>
      </c>
      <c r="AA39" s="2299"/>
      <c r="AB39" s="2307"/>
      <c r="AC39" s="1492" t="s">
        <v>531</v>
      </c>
      <c r="AD39" s="1231" t="s">
        <v>532</v>
      </c>
      <c r="AE39" s="1231" t="s">
        <v>507</v>
      </c>
      <c r="AF39" s="1498" t="s">
        <v>457</v>
      </c>
      <c r="AG39" s="2298" t="s">
        <v>458</v>
      </c>
      <c r="AH39" s="2299"/>
      <c r="AI39" s="2307"/>
      <c r="AJ39" s="2310"/>
      <c r="AK39" s="2155"/>
      <c r="AQ39" s="1164">
        <v>86</v>
      </c>
    </row>
    <row s="1650" customFormat="1" customHeight="1" ht="0">
      <c r="A40" s="1379"/>
      <c r="B40" s="1379"/>
      <c r="C40" s="1379"/>
      <c r="D40" s="1379"/>
      <c r="E40" s="1379"/>
      <c r="F40" s="1379"/>
      <c r="G40" s="1379"/>
      <c r="H40" s="1379"/>
      <c r="I40" s="1379"/>
      <c r="J40" s="1379"/>
      <c r="K40" s="1379"/>
      <c r="L40" s="1373"/>
      <c r="M40" s="1371"/>
      <c r="N40" s="1371"/>
      <c r="O40" s="1371"/>
      <c r="P40" s="1255"/>
      <c r="Q40" s="1256"/>
      <c r="R40" s="1263">
        <v>1</v>
      </c>
      <c r="S40" s="1286" t="s">
        <v>118</v>
      </c>
      <c r="T40" s="1264" t="s">
        <v>103</v>
      </c>
      <c r="U40" s="1254" t="str">
        <f>OFFSET(U40,0,-1)</f>
        <v>2</v>
      </c>
      <c r="V40" s="1491">
        <f>OFFSET(V40,0,-1)+1</f>
        <v>3</v>
      </c>
      <c r="W40" s="1491">
        <f>OFFSET(W40,0,-1)+1</f>
        <v>4</v>
      </c>
      <c r="X40" s="1491">
        <f>OFFSET(X40,0,-1)+1</f>
        <v>5</v>
      </c>
      <c r="Y40" s="1491">
        <f>OFFSET(Y40,0,-1)+1</f>
        <v>6</v>
      </c>
      <c r="Z40" s="2300">
        <f>OFFSET(Z40,0,-1)+1</f>
        <v>7</v>
      </c>
      <c r="AA40" s="2300"/>
      <c r="AB40" s="1491">
        <f>OFFSET(AB40,0,-2)+1</f>
        <v>8</v>
      </c>
      <c r="AC40" s="1491">
        <f>OFFSET(AC40,0,-1)+1</f>
        <v>9</v>
      </c>
      <c r="AD40" s="1491">
        <f>OFFSET(AD40,0,-1)+1</f>
        <v>10</v>
      </c>
      <c r="AE40" s="1491">
        <f>OFFSET(AE40,0,-1)+1</f>
        <v>11</v>
      </c>
      <c r="AF40" s="1491">
        <f>OFFSET(AF40,0,-1)+1</f>
        <v>12</v>
      </c>
      <c r="AG40" s="2300">
        <f>OFFSET(AG40,0,-1)+1</f>
        <v>13</v>
      </c>
      <c r="AH40" s="2300"/>
      <c r="AI40" s="1491">
        <f>OFFSET(AI40,0,-2)+1</f>
        <v>14</v>
      </c>
      <c r="AJ40" s="1254">
        <f>OFFSET(AJ40,0,-1)</f>
        <v>14</v>
      </c>
      <c r="AK40" s="1491">
        <f>OFFSET(AK40,0,-1)+1</f>
        <v>15</v>
      </c>
      <c r="AL40" s="520"/>
      <c r="AM40" s="520"/>
      <c r="AN40" s="520"/>
      <c r="AO40" s="520"/>
      <c r="AP40" s="520"/>
      <c r="AQ40" s="505">
        <v>0</v>
      </c>
    </row>
    <row customHeight="1" ht="24">
      <c r="A41" s="1372" t="s">
        <v>286</v>
      </c>
      <c r="B41" s="1372"/>
      <c r="C41" s="1372"/>
      <c r="D41" s="1372"/>
      <c r="E41" s="2286">
        <v>1</v>
      </c>
      <c r="F41" s="1372"/>
      <c r="G41" s="1372"/>
      <c r="H41" s="1372"/>
      <c r="I41" s="1372"/>
      <c r="J41" s="1372"/>
      <c r="K41" s="1372"/>
      <c r="L41" s="1373"/>
      <c r="M41" s="1374"/>
      <c r="N41" s="1374"/>
      <c r="O41" s="1374"/>
      <c r="P41" s="370"/>
      <c r="Q41" s="369"/>
      <c r="R41" s="364"/>
      <c r="S41" s="1502">
        <f>INDEX(PT_DIFFERENTIATION_NUM_NTAR,MATCH(A41,PT_DIFFERENTIATION_NTAR_ID,0))</f>
        <v>0</v>
      </c>
      <c r="T41" s="307" t="s">
        <v>140</v>
      </c>
      <c r="U41" s="309"/>
      <c r="V41" s="2270"/>
      <c r="W41" s="2271"/>
      <c r="X41" s="2271"/>
      <c r="Y41" s="2271"/>
      <c r="Z41" s="2271"/>
      <c r="AA41" s="2271"/>
      <c r="AB41" s="2272"/>
      <c r="AC41" s="2270" t="str">
        <f>INDEX(PT_DIFFERENTIATION_NTAR,MATCH(A41,PT_DIFFERENTIATION_NTAR_ID,0))</f>
        <v/>
      </c>
      <c r="AD41" s="2271"/>
      <c r="AE41" s="2271"/>
      <c r="AF41" s="2271"/>
      <c r="AG41" s="2271"/>
      <c r="AH41" s="2271"/>
      <c r="AI41" s="2271"/>
      <c r="AJ41" s="2272"/>
      <c r="AK41"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9"/>
      <c r="AN41" s="509" t="str">
        <f>IF(T41="","",T41)</f>
        <v>Наименование тарифа</v>
      </c>
      <c r="AO41" s="509"/>
      <c r="AP41" s="509"/>
      <c r="AQ41" s="1164">
        <v>23</v>
      </c>
    </row>
    <row customHeight="1" ht="24">
      <c r="A42" s="1372" t="s">
        <v>286</v>
      </c>
      <c r="B42" s="1372" t="s">
        <v>287</v>
      </c>
      <c r="C42" s="1372"/>
      <c r="D42" s="1372"/>
      <c r="E42" s="2287"/>
      <c r="F42" s="2286">
        <v>1</v>
      </c>
      <c r="G42" s="1372"/>
      <c r="H42" s="1372"/>
      <c r="I42" s="1372"/>
      <c r="J42" s="1372"/>
      <c r="K42" s="1372"/>
      <c r="L42" s="1373"/>
      <c r="M42" s="1374"/>
      <c r="N42" s="1374"/>
      <c r="O42" s="1374"/>
      <c r="P42" s="1496"/>
      <c r="Q42" s="361"/>
      <c r="R42" s="362"/>
      <c r="S42" s="1502" t="str">
        <f>INDEX(PT_DIFFERENTIATION_NUM_TER,MATCH(B42,PT_DIFFERENTIATION_TER_ID,0))</f>
        <v>.</v>
      </c>
      <c r="T42" s="317" t="s">
        <v>412</v>
      </c>
      <c r="U42" s="309"/>
      <c r="V42" s="2270"/>
      <c r="W42" s="2271"/>
      <c r="X42" s="2271"/>
      <c r="Y42" s="2271"/>
      <c r="Z42" s="2271"/>
      <c r="AA42" s="2271"/>
      <c r="AB42" s="2272"/>
      <c r="AC42" s="2270" t="str">
        <f>INDEX(PT_DIFFERENTIATION_TER,MATCH(B42,PT_DIFFERENTIATION_TER_ID,0))</f>
        <v/>
      </c>
      <c r="AD42" s="2271"/>
      <c r="AE42" s="2271"/>
      <c r="AF42" s="2271"/>
      <c r="AG42" s="2271"/>
      <c r="AH42" s="2271"/>
      <c r="AI42" s="2271"/>
      <c r="AJ42" s="2272"/>
      <c r="AK42" s="1267" t="s">
        <v>413</v>
      </c>
      <c r="AM42" s="509"/>
      <c r="AN42" s="509" t="str">
        <f>IF(T42="","",T42)</f>
        <v>Территория действия тарифа</v>
      </c>
      <c r="AO42" s="509"/>
      <c r="AP42" s="509"/>
      <c r="AQ42" s="1164">
        <v>23</v>
      </c>
    </row>
    <row customHeight="1" ht="24">
      <c r="A43" s="1372" t="s">
        <v>286</v>
      </c>
      <c r="B43" s="1372" t="s">
        <v>287</v>
      </c>
      <c r="C43" s="1372" t="s">
        <v>288</v>
      </c>
      <c r="D43" s="1372"/>
      <c r="E43" s="2287"/>
      <c r="F43" s="2287"/>
      <c r="G43" s="2286">
        <v>1</v>
      </c>
      <c r="H43" s="1372"/>
      <c r="I43" s="1372"/>
      <c r="J43" s="1372"/>
      <c r="K43" s="1372"/>
      <c r="L43" s="1373"/>
      <c r="M43" s="1374"/>
      <c r="N43" s="1374"/>
      <c r="O43" s="1374"/>
      <c r="P43" s="363"/>
      <c r="Q43" s="361"/>
      <c r="R43" s="362"/>
      <c r="S43" s="1502" t="str">
        <f>INDEX(PT_DIFFERENTIATION_NUM_CS,MATCH(C43,PT_DIFFERENTIATION_CS_ID,0))</f>
        <v>..</v>
      </c>
      <c r="T43" s="318" t="s">
        <v>529</v>
      </c>
      <c r="U43" s="309"/>
      <c r="V43" s="2270"/>
      <c r="W43" s="2271"/>
      <c r="X43" s="2271"/>
      <c r="Y43" s="2271"/>
      <c r="Z43" s="2271"/>
      <c r="AA43" s="2271"/>
      <c r="AB43" s="2272"/>
      <c r="AC43" s="2270" t="str">
        <f>INDEX(PT_DIFFERENTIATION_CS,MATCH(C43,PT_DIFFERENTIATION_CS_ID,0))</f>
        <v/>
      </c>
      <c r="AD43" s="2271"/>
      <c r="AE43" s="2271"/>
      <c r="AF43" s="2271"/>
      <c r="AG43" s="2271"/>
      <c r="AH43" s="2271"/>
      <c r="AI43" s="2271"/>
      <c r="AJ43" s="2272"/>
      <c r="AK43" s="1267" t="s">
        <v>530</v>
      </c>
      <c r="AM43" s="509"/>
      <c r="AN43" s="509" t="str">
        <f>IF(T43="","",T43)</f>
        <v>Наименование централизованной системы водоотведения</v>
      </c>
      <c r="AO43" s="509"/>
      <c r="AP43" s="509"/>
      <c r="AQ43" s="1164">
        <v>23</v>
      </c>
    </row>
    <row customHeight="1" ht="24">
      <c r="A44" s="1372" t="s">
        <v>286</v>
      </c>
      <c r="B44" s="1372" t="s">
        <v>287</v>
      </c>
      <c r="C44" s="1372" t="s">
        <v>288</v>
      </c>
      <c r="D44" s="1372" t="s">
        <v>534</v>
      </c>
      <c r="E44" s="2287"/>
      <c r="F44" s="2287"/>
      <c r="G44" s="2287"/>
      <c r="H44" s="2287"/>
      <c r="I44" s="2284" t="str">
        <f>S43&amp;".1"</f>
        <v>...1</v>
      </c>
      <c r="J44" s="1372"/>
      <c r="K44" s="1372"/>
      <c r="L44" s="1373"/>
      <c r="P44" s="2285">
        <v>1</v>
      </c>
      <c r="Q44" s="1490"/>
      <c r="R44" s="365"/>
      <c r="S44" s="1502" t="str">
        <f>$I44</f>
        <v>...1</v>
      </c>
      <c r="T44" s="294" t="s">
        <v>496</v>
      </c>
      <c r="U44" s="309"/>
      <c r="V44" s="2378"/>
      <c r="W44" s="2379"/>
      <c r="X44" s="2379"/>
      <c r="Y44" s="2379"/>
      <c r="Z44" s="2379"/>
      <c r="AA44" s="2379"/>
      <c r="AB44" s="2380"/>
      <c r="AC44" s="2381"/>
      <c r="AD44" s="2382"/>
      <c r="AE44" s="2382"/>
      <c r="AF44" s="2382"/>
      <c r="AG44" s="2382"/>
      <c r="AH44" s="2382"/>
      <c r="AI44" s="2382"/>
      <c r="AJ44" s="2383"/>
      <c r="AK44" s="1267" t="s">
        <v>497</v>
      </c>
      <c r="AM44" s="509"/>
      <c r="AN44" s="509" t="str">
        <f>IF(T44="","",T44)</f>
        <v>Наименование признака дифференциации</v>
      </c>
      <c r="AO44" s="509"/>
      <c r="AP44" s="509"/>
      <c r="AQ44" s="1164">
        <v>23</v>
      </c>
    </row>
    <row customHeight="1" ht="24">
      <c r="A45" s="1372" t="s">
        <v>286</v>
      </c>
      <c r="B45" s="1372" t="s">
        <v>287</v>
      </c>
      <c r="C45" s="1372" t="s">
        <v>288</v>
      </c>
      <c r="D45" s="1372" t="s">
        <v>534</v>
      </c>
      <c r="E45" s="2287"/>
      <c r="F45" s="2287"/>
      <c r="G45" s="2287"/>
      <c r="H45" s="2287"/>
      <c r="I45" s="2314"/>
      <c r="J45" s="2284" t="str">
        <f>I44&amp;".1"</f>
        <v>...1.1</v>
      </c>
      <c r="K45" s="1372"/>
      <c r="L45" s="1373" t="s">
        <v>421</v>
      </c>
      <c r="P45" s="2285"/>
      <c r="Q45" s="2285">
        <v>1</v>
      </c>
      <c r="R45" s="366"/>
      <c r="S45" s="1502" t="str">
        <f>$J45</f>
        <v>...1.1</v>
      </c>
      <c r="T45" s="295" t="s">
        <v>422</v>
      </c>
      <c r="U45" s="309"/>
      <c r="V45" s="2273"/>
      <c r="W45" s="2274"/>
      <c r="X45" s="2274"/>
      <c r="Y45" s="2274"/>
      <c r="Z45" s="2274"/>
      <c r="AA45" s="2274"/>
      <c r="AB45" s="2275"/>
      <c r="AC45" s="2273"/>
      <c r="AD45" s="2274"/>
      <c r="AE45" s="2274"/>
      <c r="AF45" s="2274"/>
      <c r="AG45" s="2274"/>
      <c r="AH45" s="2274"/>
      <c r="AI45" s="2274"/>
      <c r="AJ45" s="2275"/>
      <c r="AK45" s="1316" t="s">
        <v>498</v>
      </c>
      <c r="AM45" s="509"/>
      <c r="AN45" s="509" t="str">
        <f>IF(T45="","",T45)</f>
        <v>Группа потребителей</v>
      </c>
      <c r="AO45" s="509"/>
      <c r="AP45" s="509"/>
      <c r="AQ45" s="1164">
        <v>23</v>
      </c>
    </row>
    <row customHeight="1" ht="24">
      <c r="A46" s="1372" t="s">
        <v>286</v>
      </c>
      <c r="B46" s="1372" t="s">
        <v>287</v>
      </c>
      <c r="C46" s="1372" t="s">
        <v>288</v>
      </c>
      <c r="D46" s="1372" t="s">
        <v>534</v>
      </c>
      <c r="E46" s="2287"/>
      <c r="F46" s="2287"/>
      <c r="G46" s="2287"/>
      <c r="H46" s="2287"/>
      <c r="I46" s="2314"/>
      <c r="J46" s="2314"/>
      <c r="K46" s="2284" t="str">
        <f>J45&amp;".1"</f>
        <v>...1.1.1</v>
      </c>
      <c r="L46" s="1373"/>
      <c r="P46" s="2285"/>
      <c r="Q46" s="2285"/>
      <c r="R46" s="366">
        <v>1</v>
      </c>
      <c r="S46" s="1502" t="str">
        <f>$K46</f>
        <v>...1.1.1</v>
      </c>
      <c r="T46" s="1446"/>
      <c r="U46" s="309"/>
      <c r="V46" s="1369"/>
      <c r="W46" s="1369"/>
      <c r="X46" s="1370"/>
      <c r="Y46" s="2295"/>
      <c r="Z46" s="2296" t="s">
        <v>63</v>
      </c>
      <c r="AA46" s="2295"/>
      <c r="AB46" s="2296" t="s">
        <v>63</v>
      </c>
      <c r="AC46" s="760"/>
      <c r="AD46" s="760"/>
      <c r="AE46" s="1266"/>
      <c r="AF46" s="2293"/>
      <c r="AG46" s="2135" t="s">
        <v>63</v>
      </c>
      <c r="AH46" s="2315"/>
      <c r="AI46" s="2135" t="s">
        <v>19</v>
      </c>
      <c r="AJ46" s="1447"/>
      <c r="AK46"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20">
        <f>STRCHECKDATE(V47:AJ47)</f>
      </c>
      <c r="AM46" s="509"/>
      <c r="AN46" s="509" t="str">
        <f>IF(T46="","",T46)</f>
        <v/>
      </c>
      <c r="AO46" s="509"/>
      <c r="AP46" s="509"/>
      <c r="AQ46" s="1164">
        <v>23</v>
      </c>
    </row>
    <row customHeight="1" ht="0">
      <c r="A47" s="1372" t="s">
        <v>286</v>
      </c>
      <c r="B47" s="1372" t="s">
        <v>287</v>
      </c>
      <c r="C47" s="1372" t="s">
        <v>288</v>
      </c>
      <c r="D47" s="1372" t="s">
        <v>534</v>
      </c>
      <c r="E47" s="2287"/>
      <c r="F47" s="2287"/>
      <c r="G47" s="2287"/>
      <c r="H47" s="2287"/>
      <c r="I47" s="2314"/>
      <c r="J47" s="2314"/>
      <c r="K47" s="2284"/>
      <c r="L47" s="1373"/>
      <c r="P47" s="2285"/>
      <c r="Q47" s="2285"/>
      <c r="R47" s="366"/>
      <c r="S47" s="1499"/>
      <c r="T47" s="309"/>
      <c r="U47" s="309"/>
      <c r="V47" s="1369"/>
      <c r="W47" s="1369"/>
      <c r="X47" s="337" t="str">
        <f>Y46&amp;"-"&amp;AA46</f>
        <v>-</v>
      </c>
      <c r="Y47" s="2296"/>
      <c r="Z47" s="2296"/>
      <c r="AA47" s="2296"/>
      <c r="AB47" s="2296"/>
      <c r="AC47" s="334"/>
      <c r="AD47" s="334"/>
      <c r="AE47" s="337" t="str">
        <f>AF46&amp;"-"&amp;AH46</f>
        <v>-</v>
      </c>
      <c r="AF47" s="2294"/>
      <c r="AG47" s="2135"/>
      <c r="AH47" s="2316"/>
      <c r="AI47" s="2135"/>
      <c r="AJ47" s="1448"/>
      <c r="AK47" s="2377"/>
      <c r="AM47" s="509"/>
      <c r="AN47" s="509" t="str">
        <f>IF(T47="","",T47)</f>
        <v/>
      </c>
      <c r="AO47" s="509"/>
      <c r="AP47" s="509"/>
      <c r="AQ47" s="1164">
        <v>0</v>
      </c>
    </row>
    <row customHeight="1" ht="21">
      <c r="A48" s="1372" t="s">
        <v>286</v>
      </c>
      <c r="B48" s="1372" t="s">
        <v>287</v>
      </c>
      <c r="C48" s="1372" t="s">
        <v>288</v>
      </c>
      <c r="D48" s="1372" t="s">
        <v>534</v>
      </c>
      <c r="E48" s="2287"/>
      <c r="F48" s="2287"/>
      <c r="G48" s="2287"/>
      <c r="H48" s="2287"/>
      <c r="I48" s="2314"/>
      <c r="J48" s="2284"/>
      <c r="K48" s="1372"/>
      <c r="L48" s="1373"/>
      <c r="P48" s="2285"/>
      <c r="Q48" s="2285"/>
      <c r="R48" s="365"/>
      <c r="S48" s="1287"/>
      <c r="T48" s="296" t="s">
        <v>499</v>
      </c>
      <c r="U48" s="376"/>
      <c r="V48" s="376"/>
      <c r="W48" s="376"/>
      <c r="X48" s="376"/>
      <c r="Y48" s="376"/>
      <c r="Z48" s="376"/>
      <c r="AA48" s="376"/>
      <c r="AB48" s="376"/>
      <c r="AC48" s="376"/>
      <c r="AD48" s="376"/>
      <c r="AE48" s="376"/>
      <c r="AF48" s="376"/>
      <c r="AG48" s="376"/>
      <c r="AH48" s="376"/>
      <c r="AI48" s="376"/>
      <c r="AJ48" s="376"/>
      <c r="AK48" s="1267" t="s">
        <v>500</v>
      </c>
      <c r="AM48" s="509"/>
      <c r="AN48" s="509" t="str">
        <f>IF(T48="","",T48)</f>
        <v>Добавить значение признака дифференциации</v>
      </c>
      <c r="AO48" s="509"/>
      <c r="AP48" s="509"/>
      <c r="AQ48" s="1164">
        <v>20</v>
      </c>
    </row>
    <row customHeight="1" ht="22.049999999999997">
      <c r="A49" s="1372" t="s">
        <v>286</v>
      </c>
      <c r="B49" s="1372" t="s">
        <v>287</v>
      </c>
      <c r="C49" s="1372" t="s">
        <v>288</v>
      </c>
      <c r="D49" s="1372" t="s">
        <v>534</v>
      </c>
      <c r="E49" s="2287"/>
      <c r="F49" s="2287"/>
      <c r="G49" s="2287"/>
      <c r="H49" s="2287"/>
      <c r="I49" s="2284"/>
      <c r="J49" s="1372"/>
      <c r="K49" s="1372"/>
      <c r="L49" s="1373"/>
      <c r="P49" s="2285"/>
      <c r="Q49" s="1490"/>
      <c r="R49" s="365"/>
      <c r="S49" s="1287"/>
      <c r="T49" s="374" t="s">
        <v>427</v>
      </c>
      <c r="U49" s="376"/>
      <c r="V49" s="376"/>
      <c r="W49" s="376"/>
      <c r="X49" s="376"/>
      <c r="Y49" s="376"/>
      <c r="Z49" s="376"/>
      <c r="AA49" s="376"/>
      <c r="AB49" s="375"/>
      <c r="AC49" s="376"/>
      <c r="AD49" s="376"/>
      <c r="AE49" s="376"/>
      <c r="AF49" s="376"/>
      <c r="AG49" s="376"/>
      <c r="AH49" s="376"/>
      <c r="AI49" s="375"/>
      <c r="AJ49" s="376"/>
      <c r="AK49" s="1449"/>
      <c r="AM49" s="509"/>
      <c r="AN49" s="509" t="str">
        <f>IF(T49="","",T49)</f>
        <v>Добавить группу потребителей</v>
      </c>
      <c r="AO49" s="509"/>
      <c r="AP49" s="509"/>
      <c r="AQ49" s="1164">
        <v>21</v>
      </c>
    </row>
    <row customHeight="1" ht="22.049999999999997">
      <c r="A50" s="1372" t="s">
        <v>286</v>
      </c>
      <c r="B50" s="1372" t="s">
        <v>287</v>
      </c>
      <c r="C50" s="1372" t="s">
        <v>288</v>
      </c>
      <c r="D50" s="1372" t="s">
        <v>534</v>
      </c>
      <c r="E50" s="2287"/>
      <c r="F50" s="2287"/>
      <c r="G50" s="2287"/>
      <c r="H50" s="2286"/>
      <c r="I50" s="1372"/>
      <c r="J50" s="1372"/>
      <c r="K50" s="1372"/>
      <c r="L50" s="1373"/>
      <c r="M50" s="1374"/>
      <c r="N50" s="1374"/>
      <c r="O50" s="546"/>
      <c r="P50" s="369"/>
      <c r="Q50" s="384"/>
      <c r="R50" s="364"/>
      <c r="S50" s="1287"/>
      <c r="T50" s="381" t="s">
        <v>501</v>
      </c>
      <c r="U50" s="376"/>
      <c r="V50" s="376"/>
      <c r="W50" s="376"/>
      <c r="X50" s="376"/>
      <c r="Y50" s="376"/>
      <c r="Z50" s="376"/>
      <c r="AA50" s="376"/>
      <c r="AB50" s="375"/>
      <c r="AC50" s="376"/>
      <c r="AD50" s="376"/>
      <c r="AE50" s="376"/>
      <c r="AF50" s="376"/>
      <c r="AG50" s="376"/>
      <c r="AH50" s="376"/>
      <c r="AI50" s="375"/>
      <c r="AJ50" s="376"/>
      <c r="AK50" s="312"/>
      <c r="AM50" s="509"/>
      <c r="AN50" s="509" t="str">
        <f>IF(T50="","",T50)</f>
        <v>Добавить наименование признака дифференциации</v>
      </c>
      <c r="AO50" s="509"/>
      <c r="AP50" s="509"/>
      <c r="AQ50" s="1164">
        <v>21</v>
      </c>
    </row>
    <row s="1651" customFormat="1" customHeight="1" ht="0">
      <c r="A51" s="1352" t="s">
        <v>286</v>
      </c>
      <c r="B51" s="1352" t="s">
        <v>287</v>
      </c>
      <c r="C51" s="1323"/>
      <c r="D51" s="1323"/>
      <c r="E51" s="2287"/>
      <c r="F51" s="2286"/>
      <c r="G51" s="1323"/>
      <c r="H51" s="1323"/>
      <c r="I51" s="1323"/>
      <c r="J51" s="1323"/>
      <c r="K51" s="1323"/>
      <c r="L51" s="1503"/>
      <c r="M51" s="1330"/>
      <c r="N51" s="1330"/>
      <c r="P51" s="1325"/>
      <c r="Q51" s="1326"/>
      <c r="R51" s="1325"/>
      <c r="S51" s="1331"/>
      <c r="T51" s="1334" t="s">
        <v>430</v>
      </c>
      <c r="U51" s="1333"/>
      <c r="V51" s="1333"/>
      <c r="W51" s="1333"/>
      <c r="X51" s="1333"/>
      <c r="Y51" s="1333"/>
      <c r="Z51" s="1333"/>
      <c r="AA51" s="1333"/>
      <c r="AB51" s="1333"/>
      <c r="AC51" s="1333"/>
      <c r="AD51" s="1333"/>
      <c r="AE51" s="1333"/>
      <c r="AF51" s="1333"/>
      <c r="AG51" s="1333"/>
      <c r="AH51" s="1333"/>
      <c r="AI51" s="1333"/>
      <c r="AJ51" s="1333"/>
      <c r="AK51" s="1333"/>
      <c r="AM51" s="798"/>
      <c r="AN51" s="798" t="str">
        <f>IF(T51="","",T51)</f>
        <v>Добавить централизованную систему для дифференциации</v>
      </c>
      <c r="AO51" s="798"/>
      <c r="AP51" s="798"/>
      <c r="AQ51" s="527">
        <v>0</v>
      </c>
    </row>
    <row s="1651" customFormat="1" customHeight="1" ht="0">
      <c r="A52" s="1352" t="s">
        <v>286</v>
      </c>
      <c r="B52" s="1352"/>
      <c r="C52" s="1352"/>
      <c r="D52" s="1352"/>
      <c r="E52" s="2286"/>
      <c r="F52" s="1352"/>
      <c r="G52" s="1352"/>
      <c r="H52" s="1352"/>
      <c r="I52" s="1352"/>
      <c r="J52" s="1352"/>
      <c r="K52" s="1352"/>
      <c r="L52" s="1355"/>
      <c r="M52" s="1330"/>
      <c r="N52" s="1330"/>
      <c r="O52" s="527"/>
      <c r="P52" s="389"/>
      <c r="Q52" s="1353"/>
      <c r="R52" s="389"/>
      <c r="S52" s="1331"/>
      <c r="T52" s="1334" t="s">
        <v>431</v>
      </c>
      <c r="U52" s="1333"/>
      <c r="V52" s="1333"/>
      <c r="W52" s="1333"/>
      <c r="X52" s="1333"/>
      <c r="Y52" s="1333"/>
      <c r="Z52" s="1333"/>
      <c r="AA52" s="1333"/>
      <c r="AB52" s="1333"/>
      <c r="AC52" s="1333"/>
      <c r="AD52" s="1333"/>
      <c r="AE52" s="1333"/>
      <c r="AF52" s="1333"/>
      <c r="AG52" s="1333"/>
      <c r="AH52" s="1333"/>
      <c r="AI52" s="1333"/>
      <c r="AJ52" s="1333"/>
      <c r="AK52" s="1333"/>
      <c r="AM52" s="509"/>
      <c r="AN52" s="509" t="str">
        <f>IF(T52="","",T52)</f>
        <v>Добавить территорию для дифференциации</v>
      </c>
      <c r="AO52" s="509"/>
      <c r="AP52" s="509"/>
      <c r="AQ52" s="520">
        <v>0</v>
      </c>
    </row>
    <row s="1651" customFormat="1" customHeight="1" ht="0">
      <c r="A53" s="1323"/>
      <c r="B53" s="1323"/>
      <c r="C53" s="1323"/>
      <c r="D53" s="1323"/>
      <c r="E53" s="1352"/>
      <c r="F53" s="1323"/>
      <c r="G53" s="1323"/>
      <c r="H53" s="1323"/>
      <c r="I53" s="1323"/>
      <c r="J53" s="1323"/>
      <c r="K53" s="1323"/>
      <c r="L53" s="1503"/>
      <c r="M53" s="1330"/>
      <c r="N53" s="1330"/>
      <c r="P53" s="1325"/>
      <c r="Q53" s="1326"/>
      <c r="R53" s="1325"/>
      <c r="S53" s="1331"/>
      <c r="T53" s="1334" t="s">
        <v>459</v>
      </c>
      <c r="U53" s="1333"/>
      <c r="V53" s="1333"/>
      <c r="W53" s="1333"/>
      <c r="X53" s="1333"/>
      <c r="Y53" s="1333"/>
      <c r="Z53" s="1333"/>
      <c r="AA53" s="1333"/>
      <c r="AB53" s="1333"/>
      <c r="AC53" s="1333"/>
      <c r="AD53" s="1333"/>
      <c r="AE53" s="1333"/>
      <c r="AF53" s="1333"/>
      <c r="AG53" s="1333"/>
      <c r="AH53" s="1333"/>
      <c r="AI53" s="1333"/>
      <c r="AJ53" s="1333"/>
      <c r="AK53" s="1333"/>
      <c r="AM53" s="798"/>
      <c r="AN53" s="798" t="str">
        <f>IF(T53="","",T53)</f>
        <v>Добавить наименование тарифа</v>
      </c>
      <c r="AO53" s="798"/>
      <c r="AP53" s="798"/>
      <c r="AQ53" s="527">
        <v>0</v>
      </c>
    </row>
    <row customHeight="1" ht="11.549999999999999">
      <c r="M54" s="1169"/>
      <c r="N54" s="1169"/>
      <c r="O54" s="546"/>
      <c r="P54" s="1164"/>
      <c r="Q54" s="1164"/>
      <c r="R54" s="1164"/>
      <c r="S54" s="1164"/>
      <c r="AL54" s="1164"/>
      <c r="AM54" s="1164"/>
      <c r="AN54" s="1164"/>
      <c r="AO54" s="1164"/>
      <c r="AP54" s="1164"/>
      <c r="AQ54" s="1164">
        <v>11</v>
      </c>
    </row>
    <row customHeight="1" ht="14.699999999999998">
      <c r="O55" s="546"/>
      <c r="S55" s="1262"/>
      <c r="T55" s="2313"/>
      <c r="U55" s="2313"/>
      <c r="V55" s="2313"/>
      <c r="W55" s="2313"/>
      <c r="X55" s="2313"/>
      <c r="Y55" s="2313"/>
      <c r="Z55" s="2313"/>
      <c r="AA55" s="2313"/>
      <c r="AB55" s="2313"/>
      <c r="AC55" s="2313"/>
      <c r="AD55" s="2313"/>
      <c r="AE55" s="2313"/>
      <c r="AF55" s="2313"/>
      <c r="AG55" s="2313"/>
      <c r="AH55" s="2313"/>
      <c r="AI55" s="2313"/>
      <c r="AJ55" s="2313"/>
      <c r="AK55" s="2313"/>
      <c r="AQ55" s="1164">
        <v>14</v>
      </c>
    </row>
    <row customHeight="1" ht="14.699999999999998">
      <c r="O56" s="546"/>
      <c r="AQ56" s="1164">
        <v>14</v>
      </c>
    </row>
    <row customHeight="1" ht="14.699999999999998">
      <c r="O57" s="546"/>
      <c r="S57" s="1262"/>
      <c r="T57" s="2313"/>
      <c r="U57" s="2313"/>
      <c r="V57" s="2313"/>
      <c r="W57" s="2313"/>
      <c r="X57" s="2313"/>
      <c r="Y57" s="2313"/>
      <c r="Z57" s="2313"/>
      <c r="AA57" s="2313"/>
      <c r="AB57" s="2313"/>
      <c r="AC57" s="2313"/>
      <c r="AD57" s="2313"/>
      <c r="AE57" s="2313"/>
      <c r="AF57" s="2313"/>
      <c r="AG57" s="2313"/>
      <c r="AH57" s="2313"/>
      <c r="AI57" s="2313"/>
      <c r="AJ57" s="2313"/>
      <c r="AK57" s="2313"/>
      <c r="AQ57" s="1164">
        <v>14</v>
      </c>
    </row>
    <row customHeight="1" ht="22.5" hidden="1">
      <c r="A58" s="1169" t="s">
        <v>83</v>
      </c>
      <c r="B58" s="1169">
        <v>0</v>
      </c>
      <c r="C58" s="1169">
        <v>0</v>
      </c>
      <c r="D58" s="1169">
        <v>0</v>
      </c>
      <c r="E58" s="1169">
        <v>0</v>
      </c>
      <c r="F58" s="1169">
        <v>0</v>
      </c>
      <c r="G58" s="1169">
        <v>0</v>
      </c>
      <c r="H58" s="1169">
        <v>0</v>
      </c>
      <c r="I58" s="1169">
        <v>0</v>
      </c>
      <c r="J58" s="1169">
        <v>0</v>
      </c>
      <c r="K58" s="1169">
        <v>0</v>
      </c>
      <c r="L58" s="1487">
        <v>0</v>
      </c>
      <c r="M58" s="1371">
        <v>0</v>
      </c>
      <c r="N58" s="1371">
        <v>0</v>
      </c>
      <c r="O58" s="1371">
        <v>0</v>
      </c>
      <c r="P58" s="1482">
        <v>3</v>
      </c>
      <c r="Q58" s="353">
        <v>3</v>
      </c>
      <c r="R58" s="353">
        <v>3</v>
      </c>
      <c r="S58" s="590">
        <v>12</v>
      </c>
      <c r="T58" s="1164">
        <v>35</v>
      </c>
      <c r="U58" s="1164">
        <v>0</v>
      </c>
      <c r="V58" s="1164">
        <v>0</v>
      </c>
      <c r="W58" s="1164">
        <v>0</v>
      </c>
      <c r="X58" s="1164">
        <v>0</v>
      </c>
      <c r="Y58" s="1164">
        <v>0</v>
      </c>
      <c r="Z58" s="1164">
        <v>0</v>
      </c>
      <c r="AA58" s="1164">
        <v>0</v>
      </c>
      <c r="AB58" s="1164">
        <v>0</v>
      </c>
      <c r="AC58" s="1164">
        <v>24</v>
      </c>
      <c r="AD58" s="1164">
        <v>24</v>
      </c>
      <c r="AE58" s="1164">
        <v>24</v>
      </c>
      <c r="AF58" s="1164">
        <v>11</v>
      </c>
      <c r="AG58" s="1164">
        <v>3</v>
      </c>
      <c r="AH58" s="1164">
        <v>11</v>
      </c>
      <c r="AI58" s="1164">
        <v>0</v>
      </c>
      <c r="AJ58" s="1164">
        <v>4</v>
      </c>
      <c r="AK58" s="1164">
        <v>115</v>
      </c>
      <c r="AL58" s="520">
        <v>10</v>
      </c>
      <c r="AM58" s="520">
        <v>10</v>
      </c>
      <c r="AN58" s="520">
        <v>10</v>
      </c>
      <c r="AO58" s="520">
        <v>10</v>
      </c>
      <c r="AP58" s="520">
        <v>10</v>
      </c>
      <c r="AQ58" s="116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A86111-CC49-7AEC-652B-0.8D99B66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1784" width="3.7109375" hidden="1" customWidth="1"/>
    <col min="17" max="17" style="1380" width="3.7109375" hidden="1" customWidth="1"/>
    <col min="18" max="18" style="353" width="3.00390625" customWidth="1"/>
    <col min="19" max="19" style="2435"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86">
        <v>1</v>
      </c>
      <c r="F2" s="1372"/>
      <c r="G2" s="1372"/>
      <c r="H2" s="1372"/>
      <c r="I2" s="1372"/>
      <c r="J2" s="1372"/>
      <c r="K2" s="1372"/>
      <c r="L2" s="1373"/>
      <c r="M2" s="1374"/>
      <c r="N2" s="1374"/>
      <c r="O2" s="1374"/>
      <c r="P2" s="1418"/>
      <c r="Q2" s="882"/>
      <c r="R2" s="364"/>
      <c r="S2" s="1502">
        <f>INDEX(PT_DIFFERENTIATION_NUM_NTAR,MATCH(A2,PT_DIFFERENTIATION_NTAR_ID,0))</f>
      </c>
      <c r="T2" s="307" t="s">
        <v>140</v>
      </c>
      <c r="U2" s="309"/>
      <c r="V2" s="2271"/>
      <c r="W2" s="2271"/>
      <c r="X2" s="2271"/>
      <c r="Y2" s="2271"/>
      <c r="Z2" s="2271"/>
      <c r="AA2" s="2271"/>
      <c r="AB2" s="2271"/>
      <c r="AC2" s="2272"/>
      <c r="AD2" s="2270">
        <f>INDEX(PT_DIFFERENTIATION_NTAR,MATCH(A2,PT_DIFFERENTIATION_NTAR_ID,0))</f>
      </c>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2"/>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87"/>
      <c r="F3" s="2286">
        <v>1</v>
      </c>
      <c r="G3" s="1372"/>
      <c r="H3" s="1372"/>
      <c r="I3" s="1372"/>
      <c r="J3" s="1372"/>
      <c r="K3" s="1372"/>
      <c r="L3" s="1373"/>
      <c r="M3" s="1374"/>
      <c r="N3" s="1374"/>
      <c r="O3" s="1374"/>
      <c r="P3" s="1419"/>
      <c r="Q3" s="1420"/>
      <c r="R3" s="362"/>
      <c r="S3" s="1502">
        <f>INDEX(PT_DIFFERENTIATION_NUM_TER,MATCH(B3,PT_DIFFERENTIATION_TER_ID,0))</f>
      </c>
      <c r="T3" s="317" t="s">
        <v>412</v>
      </c>
      <c r="U3" s="309"/>
      <c r="V3" s="2271"/>
      <c r="W3" s="2271"/>
      <c r="X3" s="2271"/>
      <c r="Y3" s="2271"/>
      <c r="Z3" s="2271"/>
      <c r="AA3" s="2271"/>
      <c r="AB3" s="2271"/>
      <c r="AC3" s="2272"/>
      <c r="AD3" s="2270">
        <f>INDEX(PT_DIFFERENTIATION_TER,MATCH(B3,PT_DIFFERENTIATION_TER_ID,0))</f>
      </c>
      <c r="AE3" s="2271"/>
      <c r="AF3" s="2271"/>
      <c r="AG3" s="2271"/>
      <c r="AH3" s="2271"/>
      <c r="AI3" s="2271"/>
      <c r="AJ3" s="2271"/>
      <c r="AK3" s="2271"/>
      <c r="AL3" s="2271"/>
      <c r="AM3" s="2271"/>
      <c r="AN3" s="2271"/>
      <c r="AO3" s="2271"/>
      <c r="AP3" s="2271"/>
      <c r="AQ3" s="2271"/>
      <c r="AR3" s="2271"/>
      <c r="AS3" s="2271"/>
      <c r="AT3" s="2271"/>
      <c r="AU3" s="2271"/>
      <c r="AV3" s="2271"/>
      <c r="AW3" s="2271"/>
      <c r="AX3" s="2271"/>
      <c r="AY3" s="2271"/>
      <c r="AZ3" s="2271"/>
      <c r="BA3" s="2271"/>
      <c r="BB3" s="2272"/>
      <c r="BC3" s="1267" t="s">
        <v>413</v>
      </c>
      <c r="BE3" s="509"/>
      <c r="BF3" s="509" t="str">
        <f>IF(T3="","",T3)</f>
        <v>Территория действия тарифа</v>
      </c>
      <c r="BG3" s="509"/>
      <c r="BH3" s="509"/>
      <c r="BI3" s="1164">
        <v>0</v>
      </c>
    </row>
    <row customHeight="1" ht="33.75" hidden="1">
      <c r="A4" s="1372"/>
      <c r="B4" s="1372"/>
      <c r="C4" s="1372"/>
      <c r="D4" s="1372"/>
      <c r="E4" s="2287"/>
      <c r="F4" s="2287"/>
      <c r="G4" s="2286">
        <v>1</v>
      </c>
      <c r="H4" s="1372"/>
      <c r="I4" s="1372"/>
      <c r="J4" s="1372"/>
      <c r="K4" s="1372"/>
      <c r="L4" s="1373"/>
      <c r="M4" s="1374"/>
      <c r="N4" s="1374"/>
      <c r="O4" s="1374"/>
      <c r="P4" s="1421"/>
      <c r="Q4" s="1420"/>
      <c r="R4" s="362"/>
      <c r="S4" s="1502">
        <f>INDEX(PT_DIFFERENTIATION_NUM_CS,MATCH(C4,PT_DIFFERENTIATION_CS_ID,0))</f>
      </c>
      <c r="T4" s="318" t="s">
        <v>529</v>
      </c>
      <c r="U4" s="309"/>
      <c r="V4" s="2271"/>
      <c r="W4" s="2271"/>
      <c r="X4" s="2271"/>
      <c r="Y4" s="2271"/>
      <c r="Z4" s="2271"/>
      <c r="AA4" s="2271"/>
      <c r="AB4" s="2271"/>
      <c r="AC4" s="2272"/>
      <c r="AD4" s="2270">
        <f>INDEX(PT_DIFFERENTIATION_CS,MATCH(C4,PT_DIFFERENTIATION_CS_ID,0))</f>
      </c>
      <c r="AE4" s="2271"/>
      <c r="AF4" s="2271"/>
      <c r="AG4" s="2271"/>
      <c r="AH4" s="2271"/>
      <c r="AI4" s="2271"/>
      <c r="AJ4" s="2271"/>
      <c r="AK4" s="2271"/>
      <c r="AL4" s="2271"/>
      <c r="AM4" s="2271"/>
      <c r="AN4" s="2271"/>
      <c r="AO4" s="2271"/>
      <c r="AP4" s="2271"/>
      <c r="AQ4" s="2271"/>
      <c r="AR4" s="2271"/>
      <c r="AS4" s="2271"/>
      <c r="AT4" s="2271"/>
      <c r="AU4" s="2271"/>
      <c r="AV4" s="2271"/>
      <c r="AW4" s="2271"/>
      <c r="AX4" s="2271"/>
      <c r="AY4" s="2271"/>
      <c r="AZ4" s="2271"/>
      <c r="BA4" s="2271"/>
      <c r="BB4" s="2272"/>
      <c r="BC4" s="1267" t="s">
        <v>530</v>
      </c>
      <c r="BE4" s="509"/>
      <c r="BF4" s="509" t="str">
        <f>IF(T4="","",T4)</f>
        <v>Наименование централизованной системы водоотведения</v>
      </c>
      <c r="BG4" s="509"/>
      <c r="BH4" s="509"/>
      <c r="BI4" s="1164">
        <v>0</v>
      </c>
    </row>
    <row s="1651" customFormat="1" customHeight="1" ht="14.25" hidden="1">
      <c r="A5" s="1352"/>
      <c r="B5" s="1352"/>
      <c r="C5" s="1352"/>
      <c r="D5" s="1352"/>
      <c r="E5" s="2287"/>
      <c r="F5" s="2287"/>
      <c r="G5" s="2287"/>
      <c r="H5" s="2286">
        <v>1</v>
      </c>
      <c r="I5" s="1352"/>
      <c r="J5" s="1352"/>
      <c r="K5" s="1352"/>
      <c r="L5" s="1355"/>
      <c r="M5" s="1324"/>
      <c r="N5" s="1324"/>
      <c r="O5" s="1324"/>
      <c r="P5" s="1506"/>
      <c r="Q5" s="1507"/>
      <c r="R5" s="366"/>
      <c r="S5" s="1051"/>
      <c r="T5" s="1508"/>
      <c r="U5" s="1393"/>
      <c r="V5" s="2325"/>
      <c r="W5" s="2325"/>
      <c r="X5" s="2325"/>
      <c r="Y5" s="2325"/>
      <c r="Z5" s="2325"/>
      <c r="AA5" s="2325"/>
      <c r="AB5" s="2325"/>
      <c r="AC5" s="2326"/>
      <c r="AD5" s="2324"/>
      <c r="AE5" s="2325"/>
      <c r="AF5" s="2325"/>
      <c r="AG5" s="2325"/>
      <c r="AH5" s="2325"/>
      <c r="AI5" s="2325"/>
      <c r="AJ5" s="2325"/>
      <c r="AK5" s="2325"/>
      <c r="AL5" s="2325"/>
      <c r="AM5" s="2325"/>
      <c r="AN5" s="2325"/>
      <c r="AO5" s="2325"/>
      <c r="AP5" s="2325"/>
      <c r="AQ5" s="2325"/>
      <c r="AR5" s="2325"/>
      <c r="AS5" s="2325"/>
      <c r="AT5" s="2325"/>
      <c r="AU5" s="2325"/>
      <c r="AV5" s="2325"/>
      <c r="AW5" s="2325"/>
      <c r="AX5" s="2325"/>
      <c r="AY5" s="2325"/>
      <c r="AZ5" s="2325"/>
      <c r="BA5" s="2325"/>
      <c r="BB5" s="2326"/>
      <c r="BC5" s="1394" t="s">
        <v>417</v>
      </c>
      <c r="BE5" s="509"/>
      <c r="BF5" s="509" t="str">
        <f>IF(T5="","",T5)</f>
        <v/>
      </c>
      <c r="BG5" s="509"/>
      <c r="BH5" s="509"/>
      <c r="BI5" s="520">
        <v>0</v>
      </c>
    </row>
    <row s="1651" customFormat="1" customHeight="1" ht="14.25" hidden="1">
      <c r="A6" s="1352"/>
      <c r="B6" s="1352"/>
      <c r="C6" s="1352"/>
      <c r="D6" s="1352"/>
      <c r="E6" s="2287"/>
      <c r="F6" s="2287"/>
      <c r="G6" s="2287"/>
      <c r="H6" s="2287"/>
      <c r="I6" s="2284" t="str">
        <f>S5&amp;".1"</f>
        <v>.1</v>
      </c>
      <c r="J6" s="1352"/>
      <c r="K6" s="1352"/>
      <c r="L6" s="1355" t="s">
        <v>418</v>
      </c>
      <c r="M6" s="519"/>
      <c r="N6" s="519"/>
      <c r="O6" s="519"/>
      <c r="P6" s="2285">
        <v>1</v>
      </c>
      <c r="Q6" s="1490"/>
      <c r="R6" s="365"/>
      <c r="S6" s="1051"/>
      <c r="T6" s="1392"/>
      <c r="U6" s="1393"/>
      <c r="V6" s="2325"/>
      <c r="W6" s="2325"/>
      <c r="X6" s="2325"/>
      <c r="Y6" s="2325"/>
      <c r="Z6" s="2325"/>
      <c r="AA6" s="2325"/>
      <c r="AB6" s="2325"/>
      <c r="AC6" s="2326"/>
      <c r="AD6" s="2324"/>
      <c r="AE6" s="2325"/>
      <c r="AF6" s="2325"/>
      <c r="AG6" s="2325"/>
      <c r="AH6" s="2325"/>
      <c r="AI6" s="2325"/>
      <c r="AJ6" s="2325"/>
      <c r="AK6" s="2325"/>
      <c r="AL6" s="2325"/>
      <c r="AM6" s="2325"/>
      <c r="AN6" s="2325"/>
      <c r="AO6" s="2325"/>
      <c r="AP6" s="2325"/>
      <c r="AQ6" s="2325"/>
      <c r="AR6" s="2325"/>
      <c r="AS6" s="2325"/>
      <c r="AT6" s="2325"/>
      <c r="AU6" s="2325"/>
      <c r="AV6" s="2325"/>
      <c r="AW6" s="2325"/>
      <c r="AX6" s="2325"/>
      <c r="AY6" s="2325"/>
      <c r="AZ6" s="2325"/>
      <c r="BA6" s="2325"/>
      <c r="BB6" s="2326"/>
      <c r="BC6" s="1394"/>
      <c r="BE6" s="509"/>
      <c r="BF6" s="509" t="str">
        <f>IF(T6="","",T6)</f>
        <v/>
      </c>
      <c r="BG6" s="509"/>
      <c r="BH6" s="509"/>
      <c r="BI6" s="520">
        <v>0</v>
      </c>
    </row>
    <row s="1651" customFormat="1" customHeight="1" ht="14.25" hidden="1">
      <c r="A7" s="1352"/>
      <c r="B7" s="1352"/>
      <c r="C7" s="1352"/>
      <c r="D7" s="1352"/>
      <c r="E7" s="2287"/>
      <c r="F7" s="2287"/>
      <c r="G7" s="2287"/>
      <c r="H7" s="2287"/>
      <c r="I7" s="2314"/>
      <c r="J7" s="2284" t="str">
        <f>S5&amp;".1"</f>
        <v>.1</v>
      </c>
      <c r="K7" s="1352"/>
      <c r="L7" s="1355"/>
      <c r="M7" s="519"/>
      <c r="N7" s="519"/>
      <c r="O7" s="519"/>
      <c r="P7" s="2285"/>
      <c r="Q7" s="2285">
        <v>1</v>
      </c>
      <c r="R7" s="366"/>
      <c r="S7" s="1051"/>
      <c r="T7" s="1408"/>
      <c r="U7" s="1393"/>
      <c r="V7" s="2325"/>
      <c r="W7" s="2325"/>
      <c r="X7" s="2325"/>
      <c r="Y7" s="2325"/>
      <c r="Z7" s="2325"/>
      <c r="AA7" s="2325"/>
      <c r="AB7" s="2325"/>
      <c r="AC7" s="2326"/>
      <c r="AD7" s="2324"/>
      <c r="AE7" s="2325"/>
      <c r="AF7" s="2325"/>
      <c r="AG7" s="2325"/>
      <c r="AH7" s="2325"/>
      <c r="AI7" s="2325"/>
      <c r="AJ7" s="2325"/>
      <c r="AK7" s="2325"/>
      <c r="AL7" s="2325"/>
      <c r="AM7" s="2325"/>
      <c r="AN7" s="2325"/>
      <c r="AO7" s="2325"/>
      <c r="AP7" s="2325"/>
      <c r="AQ7" s="2325"/>
      <c r="AR7" s="2325"/>
      <c r="AS7" s="2325"/>
      <c r="AT7" s="2325"/>
      <c r="AU7" s="2325"/>
      <c r="AV7" s="2325"/>
      <c r="AW7" s="2325"/>
      <c r="AX7" s="2325"/>
      <c r="AY7" s="2325"/>
      <c r="AZ7" s="2325"/>
      <c r="BA7" s="2325"/>
      <c r="BB7" s="2326"/>
      <c r="BC7" s="1394"/>
      <c r="BE7" s="509"/>
      <c r="BF7" s="509" t="str">
        <f>IF(T7="","",T7)</f>
        <v/>
      </c>
      <c r="BG7" s="509"/>
      <c r="BH7" s="509"/>
      <c r="BI7" s="520">
        <v>0</v>
      </c>
    </row>
    <row customHeight="1" ht="11.25" hidden="1">
      <c r="A8" s="1372"/>
      <c r="B8" s="1372"/>
      <c r="C8" s="1372"/>
      <c r="D8" s="1372"/>
      <c r="E8" s="2287"/>
      <c r="F8" s="2287"/>
      <c r="G8" s="2287"/>
      <c r="H8" s="2287"/>
      <c r="I8" s="2314"/>
      <c r="J8" s="2314"/>
      <c r="K8" s="2284">
        <f>S4&amp;".1"</f>
      </c>
      <c r="L8" s="1373"/>
      <c r="P8" s="2285"/>
      <c r="Q8" s="2285"/>
      <c r="R8" s="2375">
        <v>1</v>
      </c>
      <c r="S8" s="2369">
        <f>$K8</f>
      </c>
      <c r="T8" s="2388"/>
      <c r="U8" s="309"/>
      <c r="V8" s="760"/>
      <c r="W8" s="1266"/>
      <c r="X8" s="760"/>
      <c r="Y8" s="1266"/>
      <c r="Z8" s="1742"/>
      <c r="AA8" s="1478" t="s">
        <v>63</v>
      </c>
      <c r="AB8" s="1742"/>
      <c r="AC8" s="1478" t="s">
        <v>63</v>
      </c>
      <c r="AD8" s="2213" t="s">
        <v>63</v>
      </c>
      <c r="AE8" s="2354"/>
      <c r="AF8" s="2233">
        <v>1</v>
      </c>
      <c r="AG8" s="2391"/>
      <c r="AH8" s="2135" t="s">
        <v>63</v>
      </c>
      <c r="AI8" s="2354"/>
      <c r="AJ8" s="2233">
        <v>1</v>
      </c>
      <c r="AK8" s="2355" t="s">
        <v>22</v>
      </c>
      <c r="AL8" s="2135" t="s">
        <v>63</v>
      </c>
      <c r="AM8" s="2220"/>
      <c r="AN8" s="2233">
        <v>1</v>
      </c>
      <c r="AO8" s="2385"/>
      <c r="AP8" s="2386" t="s">
        <v>63</v>
      </c>
      <c r="AQ8" s="320"/>
      <c r="AR8" s="1495">
        <v>1</v>
      </c>
      <c r="AS8" s="1501" t="s">
        <v>22</v>
      </c>
      <c r="AT8" s="760"/>
      <c r="AU8" s="1266"/>
      <c r="AV8" s="760"/>
      <c r="AW8" s="1266"/>
      <c r="AX8" s="1742"/>
      <c r="AY8" s="1478" t="s">
        <v>63</v>
      </c>
      <c r="AZ8" s="1742"/>
      <c r="BA8" s="1478" t="s">
        <v>63</v>
      </c>
      <c r="BB8" s="1357"/>
      <c r="BC8" s="2281" t="s">
        <v>512</v>
      </c>
      <c r="BE8" s="509"/>
      <c r="BF8" s="509" t="str">
        <f>IF(T8="","",T8)</f>
        <v/>
      </c>
      <c r="BG8" s="509"/>
      <c r="BH8" s="509"/>
      <c r="BI8" s="1164">
        <v>0</v>
      </c>
    </row>
    <row customHeight="1" ht="11.25" hidden="1">
      <c r="A9" s="1372"/>
      <c r="B9" s="1372"/>
      <c r="C9" s="1372"/>
      <c r="D9" s="1372"/>
      <c r="E9" s="2287"/>
      <c r="F9" s="2287"/>
      <c r="G9" s="2287"/>
      <c r="H9" s="2287"/>
      <c r="I9" s="2314"/>
      <c r="J9" s="2314"/>
      <c r="K9" s="2284"/>
      <c r="L9" s="1373"/>
      <c r="P9" s="2285"/>
      <c r="Q9" s="2285"/>
      <c r="R9" s="2375"/>
      <c r="S9" s="2370"/>
      <c r="T9" s="2389"/>
      <c r="U9" s="309"/>
      <c r="V9" s="1402"/>
      <c r="W9" s="1505"/>
      <c r="X9" s="1402"/>
      <c r="Y9" s="1505"/>
      <c r="Z9" s="1402"/>
      <c r="AA9" s="1402"/>
      <c r="AB9" s="1402"/>
      <c r="AC9" s="1402"/>
      <c r="AD9" s="2214"/>
      <c r="AE9" s="2354"/>
      <c r="AF9" s="2233"/>
      <c r="AG9" s="2391"/>
      <c r="AH9" s="2135"/>
      <c r="AI9" s="2354"/>
      <c r="AJ9" s="2233"/>
      <c r="AK9" s="2355"/>
      <c r="AL9" s="2135"/>
      <c r="AM9" s="2228"/>
      <c r="AN9" s="2233"/>
      <c r="AO9" s="2385"/>
      <c r="AP9" s="2387"/>
      <c r="AQ9" s="325"/>
      <c r="AR9" s="425"/>
      <c r="AS9" s="425" t="s">
        <v>513</v>
      </c>
      <c r="AT9" s="1402"/>
      <c r="AU9" s="1505"/>
      <c r="AV9" s="1402"/>
      <c r="AW9" s="1505"/>
      <c r="AX9" s="1402"/>
      <c r="AY9" s="1402"/>
      <c r="AZ9" s="1402"/>
      <c r="BA9" s="1402"/>
      <c r="BB9" s="1406"/>
      <c r="BC9" s="2282"/>
      <c r="BE9" s="509"/>
      <c r="BF9" s="509"/>
      <c r="BG9" s="509"/>
      <c r="BH9" s="509"/>
      <c r="BI9" s="1164">
        <v>0</v>
      </c>
    </row>
    <row customHeight="1" ht="11.25" hidden="1">
      <c r="A10" s="1372"/>
      <c r="B10" s="1372"/>
      <c r="C10" s="1372"/>
      <c r="D10" s="1372"/>
      <c r="E10" s="2287"/>
      <c r="F10" s="2287"/>
      <c r="G10" s="2287"/>
      <c r="H10" s="2287"/>
      <c r="I10" s="2314"/>
      <c r="J10" s="2314"/>
      <c r="K10" s="2284"/>
      <c r="L10" s="1373"/>
      <c r="P10" s="2285"/>
      <c r="Q10" s="2285"/>
      <c r="R10" s="2375"/>
      <c r="S10" s="2370"/>
      <c r="T10" s="2389"/>
      <c r="U10" s="309"/>
      <c r="V10" s="1402"/>
      <c r="W10" s="1505"/>
      <c r="X10" s="1402"/>
      <c r="Y10" s="1505"/>
      <c r="Z10" s="1402"/>
      <c r="AA10" s="1402"/>
      <c r="AB10" s="1402"/>
      <c r="AC10" s="1402"/>
      <c r="AD10" s="2214"/>
      <c r="AE10" s="2354"/>
      <c r="AF10" s="2233"/>
      <c r="AG10" s="2391"/>
      <c r="AH10" s="2135"/>
      <c r="AI10" s="2354"/>
      <c r="AJ10" s="2233"/>
      <c r="AK10" s="2355"/>
      <c r="AL10" s="2135"/>
      <c r="AM10" s="325"/>
      <c r="AN10" s="1509"/>
      <c r="AO10" s="1509" t="s">
        <v>535</v>
      </c>
      <c r="AP10" s="425"/>
      <c r="AQ10" s="425"/>
      <c r="AR10" s="425"/>
      <c r="AS10" s="1402"/>
      <c r="AT10" s="1402"/>
      <c r="AU10" s="1505"/>
      <c r="AV10" s="1402"/>
      <c r="AW10" s="1505"/>
      <c r="AX10" s="1402"/>
      <c r="AY10" s="1402"/>
      <c r="AZ10" s="1402"/>
      <c r="BA10" s="1402"/>
      <c r="BB10" s="1406"/>
      <c r="BC10" s="2282"/>
      <c r="BE10" s="509"/>
      <c r="BF10" s="509"/>
      <c r="BG10" s="509"/>
      <c r="BH10" s="509"/>
      <c r="BI10" s="1164">
        <v>0</v>
      </c>
    </row>
    <row customHeight="1" ht="11.25" hidden="1">
      <c r="A11" s="1372"/>
      <c r="B11" s="1372"/>
      <c r="C11" s="1372"/>
      <c r="D11" s="1372"/>
      <c r="E11" s="2287"/>
      <c r="F11" s="2287"/>
      <c r="G11" s="2287"/>
      <c r="H11" s="2287"/>
      <c r="I11" s="2314"/>
      <c r="J11" s="2314"/>
      <c r="K11" s="2284"/>
      <c r="L11" s="1373"/>
      <c r="P11" s="2285"/>
      <c r="Q11" s="2285"/>
      <c r="R11" s="2375"/>
      <c r="S11" s="2370"/>
      <c r="T11" s="2389"/>
      <c r="U11" s="309"/>
      <c r="V11" s="1402"/>
      <c r="W11" s="1505"/>
      <c r="X11" s="1402"/>
      <c r="Y11" s="1505"/>
      <c r="Z11" s="1402"/>
      <c r="AA11" s="1402"/>
      <c r="AB11" s="1402"/>
      <c r="AC11" s="1402"/>
      <c r="AD11" s="2214"/>
      <c r="AE11" s="2354"/>
      <c r="AF11" s="2233"/>
      <c r="AG11" s="2391"/>
      <c r="AH11" s="2135"/>
      <c r="AI11" s="303"/>
      <c r="AJ11" s="424"/>
      <c r="AK11" s="322" t="s">
        <v>536</v>
      </c>
      <c r="AL11" s="1402"/>
      <c r="AM11" s="1402"/>
      <c r="AN11" s="1402"/>
      <c r="AO11" s="1402"/>
      <c r="AP11" s="1402"/>
      <c r="AQ11" s="1402"/>
      <c r="AR11" s="1402"/>
      <c r="AS11" s="1402"/>
      <c r="AT11" s="1402"/>
      <c r="AU11" s="1505"/>
      <c r="AV11" s="1402"/>
      <c r="AW11" s="1505"/>
      <c r="AX11" s="1402"/>
      <c r="AY11" s="1402"/>
      <c r="AZ11" s="1402"/>
      <c r="BA11" s="1402"/>
      <c r="BB11" s="1406"/>
      <c r="BC11" s="2282"/>
      <c r="BE11" s="509"/>
      <c r="BF11" s="509"/>
      <c r="BG11" s="509"/>
      <c r="BH11" s="509"/>
      <c r="BI11" s="1164">
        <v>0</v>
      </c>
    </row>
    <row customHeight="1" ht="11.25" hidden="1">
      <c r="A12" s="1372"/>
      <c r="B12" s="1372"/>
      <c r="C12" s="1372"/>
      <c r="D12" s="1372"/>
      <c r="E12" s="2287"/>
      <c r="F12" s="2287"/>
      <c r="G12" s="2287"/>
      <c r="H12" s="2287"/>
      <c r="I12" s="2314"/>
      <c r="J12" s="2314"/>
      <c r="K12" s="2284"/>
      <c r="L12" s="1373"/>
      <c r="P12" s="2285"/>
      <c r="Q12" s="2285"/>
      <c r="R12" s="2375"/>
      <c r="S12" s="2371"/>
      <c r="T12" s="2390"/>
      <c r="U12" s="309"/>
      <c r="V12" s="1402"/>
      <c r="W12" s="1403" t="str">
        <f>Z8&amp;"-"&amp;AB8</f>
        <v>-</v>
      </c>
      <c r="X12" s="1402"/>
      <c r="Y12" s="1403" t="str">
        <f>AB8&amp;"-"&amp;AD8</f>
        <v>-да</v>
      </c>
      <c r="Z12" s="1402"/>
      <c r="AA12" s="1402"/>
      <c r="AB12" s="1402"/>
      <c r="AC12" s="1402"/>
      <c r="AD12" s="2140"/>
      <c r="AE12" s="321"/>
      <c r="AF12" s="323"/>
      <c r="AG12" s="425" t="s">
        <v>516</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82"/>
      <c r="BE12" s="509"/>
      <c r="BF12" s="509" t="str">
        <f>IF(T12="","",T12)</f>
        <v/>
      </c>
      <c r="BG12" s="509"/>
      <c r="BH12" s="509"/>
      <c r="BI12" s="1164">
        <v>0</v>
      </c>
    </row>
    <row customHeight="1" ht="11.25" hidden="1">
      <c r="A13" s="1372"/>
      <c r="B13" s="1372"/>
      <c r="C13" s="1372"/>
      <c r="D13" s="1372"/>
      <c r="E13" s="2287"/>
      <c r="F13" s="2287"/>
      <c r="G13" s="2287"/>
      <c r="H13" s="2287"/>
      <c r="I13" s="2314"/>
      <c r="J13" s="2284"/>
      <c r="K13" s="1372"/>
      <c r="L13" s="1373"/>
      <c r="P13" s="2285"/>
      <c r="Q13" s="2285"/>
      <c r="R13" s="365"/>
      <c r="S13" s="1287"/>
      <c r="T13" s="296" t="s">
        <v>479</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83"/>
      <c r="BE13" s="509"/>
      <c r="BF13" s="509" t="str">
        <f>IF(T13="","",T13)</f>
        <v>Добавить строку</v>
      </c>
      <c r="BG13" s="509"/>
      <c r="BH13" s="509"/>
      <c r="BI13" s="1164">
        <v>0</v>
      </c>
    </row>
    <row s="1651" customFormat="1" customHeight="1" ht="14.25" hidden="1">
      <c r="A14" s="1352"/>
      <c r="B14" s="1352"/>
      <c r="C14" s="1352"/>
      <c r="D14" s="1352"/>
      <c r="E14" s="2287"/>
      <c r="F14" s="2287"/>
      <c r="G14" s="2287"/>
      <c r="H14" s="2287"/>
      <c r="I14" s="2284"/>
      <c r="J14" s="1352"/>
      <c r="K14" s="1352"/>
      <c r="L14" s="1355"/>
      <c r="M14" s="519"/>
      <c r="N14" s="519"/>
      <c r="O14" s="519"/>
      <c r="P14" s="2285"/>
      <c r="Q14" s="1490"/>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87"/>
      <c r="F15" s="2287"/>
      <c r="G15" s="2287"/>
      <c r="H15" s="2286"/>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87"/>
      <c r="F16" s="2287"/>
      <c r="G16" s="2286"/>
      <c r="H16" s="1323"/>
      <c r="I16" s="1323"/>
      <c r="J16" s="1323"/>
      <c r="K16" s="1323"/>
      <c r="L16" s="150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87"/>
      <c r="F17" s="2286"/>
      <c r="G17" s="1323"/>
      <c r="H17" s="1323"/>
      <c r="I17" s="1323"/>
      <c r="J17" s="1323"/>
      <c r="K17" s="1323"/>
      <c r="L17" s="1503"/>
      <c r="M17" s="1330"/>
      <c r="N17" s="1330"/>
      <c r="P17" s="1325"/>
      <c r="Q17" s="1326"/>
      <c r="R17" s="1325"/>
      <c r="S17" s="1331"/>
      <c r="T17" s="1334" t="s">
        <v>430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86"/>
      <c r="F18" s="1352"/>
      <c r="G18" s="1352"/>
      <c r="H18" s="1352"/>
      <c r="I18" s="1352"/>
      <c r="J18" s="1352"/>
      <c r="K18" s="1352"/>
      <c r="L18" s="1355"/>
      <c r="M18" s="1330"/>
      <c r="N18" s="1330"/>
      <c r="O18" s="527"/>
      <c r="P18" s="389"/>
      <c r="Q18" s="1353"/>
      <c r="R18" s="389"/>
      <c r="S18" s="1331"/>
      <c r="T18" s="1334" t="s">
        <v>431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4"/>
      <c r="AY20" s="1494" t="s">
        <v>63</v>
      </c>
      <c r="AZ20" s="1744"/>
      <c r="BA20" s="1494" t="s">
        <v>63</v>
      </c>
      <c r="BI20" s="1164">
        <v>0</v>
      </c>
    </row>
    <row customHeight="1" ht="14.25" hidden="1">
      <c r="BD21" s="505"/>
      <c r="BE21" s="505"/>
      <c r="BF21" s="505"/>
      <c r="BG21" s="505"/>
      <c r="BH21" s="505"/>
      <c r="BI21" s="1164">
        <v>0</v>
      </c>
    </row>
    <row customHeight="1" ht="14.25" hidden="1">
      <c r="O22" s="1376" t="s">
        <v>432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433</v>
      </c>
      <c r="P24" s="1517"/>
      <c r="Q24" s="1519"/>
      <c r="R24" s="1519"/>
      <c r="AA24" s="1516" t="s">
        <v>435</v>
      </c>
      <c r="AC24" s="1516" t="s">
        <v>436</v>
      </c>
      <c r="AD24" s="1516" t="s">
        <v>480</v>
      </c>
      <c r="AH24" s="1516" t="s">
        <v>480</v>
      </c>
      <c r="AK24" s="1516" t="s">
        <v>517</v>
      </c>
      <c r="AL24" s="1516" t="s">
        <v>480</v>
      </c>
      <c r="AP24" s="1516" t="s">
        <v>480</v>
      </c>
      <c r="AY24" s="1516" t="s">
        <v>435</v>
      </c>
      <c r="BA24" s="1516" t="s">
        <v>436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7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252"/>
      <c r="BI28" s="1164">
        <v>14</v>
      </c>
    </row>
    <row customHeight="1" ht="14.699999999999998">
      <c r="Q29" s="300"/>
      <c r="R29" s="385"/>
      <c r="S29" s="2277" t="str">
        <f>IF(org=0,"Не определено",org)</f>
        <v>АО "ДГК"</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59" customFormat="1" customHeight="1" ht="25.5" hidden="1">
      <c r="A31" s="1377"/>
      <c r="B31" s="1377"/>
      <c r="C31" s="1377"/>
      <c r="D31" s="1377"/>
      <c r="E31" s="1377"/>
      <c r="F31" s="1377"/>
      <c r="G31" s="1377"/>
      <c r="H31" s="1377"/>
      <c r="I31" s="1377"/>
      <c r="J31" s="1377"/>
      <c r="K31" s="1377"/>
      <c r="L31" s="1378"/>
      <c r="M31" s="1377"/>
      <c r="N31" s="1377"/>
      <c r="O31" s="1377"/>
      <c r="P31" s="1377"/>
      <c r="Q31" s="1377"/>
      <c r="S31"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78"/>
      <c r="U31" s="1381"/>
      <c r="V31" s="2279" t="str">
        <f>IF(TITLE_NAME_OR_PR_CHANGE="",IF(TITLE_NAME_OR_PR="","",TITLE_NAME_OR_PR),TITLE_NAME_OR_PR_CHANGE)</f>
        <v/>
      </c>
      <c r="W31" s="2279"/>
      <c r="X31" s="2279"/>
      <c r="Y31" s="2279"/>
      <c r="Z31" s="2279"/>
      <c r="AA31" s="2279"/>
      <c r="AB31" s="2279"/>
      <c r="AC31" s="335"/>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335"/>
      <c r="BB31" s="335"/>
      <c r="BC31" s="289"/>
      <c r="BD31" s="377"/>
      <c r="BE31" s="377"/>
      <c r="BF31" s="377"/>
      <c r="BG31" s="377"/>
      <c r="BH31" s="377"/>
      <c r="BI31" s="427">
        <v>0</v>
      </c>
    </row>
    <row s="1859" customFormat="1" customHeight="1" ht="18.75" hidden="1">
      <c r="A32" s="1377"/>
      <c r="B32" s="1377"/>
      <c r="C32" s="1377"/>
      <c r="D32" s="1377"/>
      <c r="E32" s="1377"/>
      <c r="F32" s="1377"/>
      <c r="G32" s="1377"/>
      <c r="H32" s="1377"/>
      <c r="I32" s="1377"/>
      <c r="J32" s="1377"/>
      <c r="K32" s="1377"/>
      <c r="L32" s="1378"/>
      <c r="M32" s="1377"/>
      <c r="N32" s="1377"/>
      <c r="O32" s="1377"/>
      <c r="P32" s="1377"/>
      <c r="Q32" s="1377"/>
      <c r="S32" s="2278" t="str">
        <f>"Дата документа об "&amp;IF(TITLE_DATE_PR_CHANGE="","утверждении","изменении")&amp;" тарифов"</f>
        <v>Дата документа об утверждении тарифов</v>
      </c>
      <c r="T32" s="2278"/>
      <c r="U32" s="1381"/>
      <c r="V32" s="2292" t="str">
        <f>IF(TITLE_DATE_PR_CHANGE="",IF(TITLE_DATE_PR="","",TITLE_DATE_PR),TITLE_DATE_PR_CHANGE)</f>
        <v/>
      </c>
      <c r="W32" s="2292"/>
      <c r="X32" s="2292"/>
      <c r="Y32" s="2292"/>
      <c r="Z32" s="2292"/>
      <c r="AA32" s="2292"/>
      <c r="AB32" s="2292"/>
      <c r="AC32" s="335"/>
      <c r="AD32" s="2292" t="str">
        <f>IF(TITLE_DATE_PR_CHANGE="",IF(TITLE_DATE_PR="","",TITLE_DATE_PR),TITLE_DATE_PR_CHANGE)</f>
        <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335"/>
      <c r="BB32" s="335"/>
      <c r="BC32" s="289"/>
      <c r="BD32" s="377"/>
      <c r="BE32" s="377"/>
      <c r="BF32" s="377"/>
      <c r="BG32" s="377"/>
      <c r="BH32" s="377"/>
      <c r="BI32" s="427">
        <v>0</v>
      </c>
    </row>
    <row s="1859" customFormat="1" customHeight="1" ht="18.75" hidden="1">
      <c r="A33" s="1377"/>
      <c r="B33" s="1377"/>
      <c r="C33" s="1377"/>
      <c r="D33" s="1377"/>
      <c r="E33" s="1377"/>
      <c r="F33" s="1377"/>
      <c r="G33" s="1377"/>
      <c r="H33" s="1377"/>
      <c r="I33" s="1377"/>
      <c r="J33" s="1377"/>
      <c r="K33" s="1377"/>
      <c r="L33" s="1378"/>
      <c r="M33" s="1377"/>
      <c r="N33" s="1377"/>
      <c r="O33" s="1377"/>
      <c r="P33" s="1377"/>
      <c r="Q33" s="1377"/>
      <c r="S33" s="2278" t="str">
        <f>"Номер документа об "&amp;IF(TITLE_DATE_PR_CHANGE="","утверждении","изменении")&amp;" тарифов"</f>
        <v>Номер документа об утверждении тарифов</v>
      </c>
      <c r="T33" s="2278"/>
      <c r="U33" s="1381"/>
      <c r="V33" s="2279" t="str">
        <f>IF(TITLE_NUMBER_PR_CHANGE="",IF(TITLE_NUMBER_PR="","",TITLE_NUMBER_PR),TITLE_NUMBER_PR_CHANGE)</f>
        <v/>
      </c>
      <c r="W33" s="2279"/>
      <c r="X33" s="2279"/>
      <c r="Y33" s="2279"/>
      <c r="Z33" s="2279"/>
      <c r="AA33" s="2279"/>
      <c r="AB33" s="2279"/>
      <c r="AC33" s="335"/>
      <c r="AD33" s="2279" t="str">
        <f>IF(TITLE_NUMBER_PR_CHANGE="",IF(TITLE_NUMBER_PR="","",TITLE_NUMBER_PR),TITLE_NUMBER_PR_CHANGE)</f>
        <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335"/>
      <c r="BB33" s="335"/>
      <c r="BC33" s="289"/>
      <c r="BD33" s="377"/>
      <c r="BE33" s="377"/>
      <c r="BF33" s="377"/>
      <c r="BG33" s="377"/>
      <c r="BH33" s="377"/>
      <c r="BI33" s="427">
        <v>0</v>
      </c>
    </row>
    <row s="1859" customFormat="1" customHeight="1" ht="18.75" hidden="1">
      <c r="A34" s="1377"/>
      <c r="B34" s="1377"/>
      <c r="C34" s="1377"/>
      <c r="D34" s="1377"/>
      <c r="E34" s="1377"/>
      <c r="F34" s="1377"/>
      <c r="G34" s="1377"/>
      <c r="H34" s="1377"/>
      <c r="I34" s="1377"/>
      <c r="J34" s="1377"/>
      <c r="K34" s="1377"/>
      <c r="L34" s="1378"/>
      <c r="M34" s="1377"/>
      <c r="N34" s="1377"/>
      <c r="O34" s="1377"/>
      <c r="P34" s="1377"/>
      <c r="Q34" s="1377"/>
      <c r="S34" s="2278" t="s">
        <v>43</v>
      </c>
      <c r="T34" s="2278"/>
      <c r="U34" s="1381"/>
      <c r="V34" s="2279" t="str">
        <f>IF(TITLE_IST_PUB_CHANGE="",IF(TITLE_IST_PUB="","",TITLE_IST_PUB),TITLE_IST_PUB_CHANGE)</f>
        <v/>
      </c>
      <c r="W34" s="2279"/>
      <c r="X34" s="2279"/>
      <c r="Y34" s="2279"/>
      <c r="Z34" s="2279"/>
      <c r="AA34" s="2279"/>
      <c r="AB34" s="2279"/>
      <c r="AC34" s="335"/>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335"/>
      <c r="BB34" s="335"/>
      <c r="BC34" s="289"/>
      <c r="BD34" s="377"/>
      <c r="BE34" s="377"/>
      <c r="BF34" s="377"/>
      <c r="BG34" s="377"/>
      <c r="BH34" s="377"/>
      <c r="BI34" s="427">
        <v>0</v>
      </c>
    </row>
    <row customHeight="1" ht="14.25" hidden="1">
      <c r="Q35" s="300"/>
      <c r="R35" s="385"/>
      <c r="S35" s="1284"/>
      <c r="T35" s="466"/>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59" customFormat="1" customHeight="1" ht="18.75" hidden="1">
      <c r="A36" s="1377"/>
      <c r="B36" s="1377"/>
      <c r="C36" s="1377"/>
      <c r="D36" s="1377"/>
      <c r="E36" s="1377"/>
      <c r="F36" s="1377"/>
      <c r="G36" s="1377"/>
      <c r="H36" s="1377"/>
      <c r="I36" s="1377"/>
      <c r="J36" s="1377"/>
      <c r="K36" s="1377"/>
      <c r="L36" s="1378"/>
      <c r="M36" s="1377"/>
      <c r="N36" s="1377"/>
      <c r="O36" s="1377"/>
      <c r="P36" s="1377"/>
      <c r="Q36" s="1377"/>
      <c r="S36" s="2278" t="str">
        <f>"Дата подачи заявления об "&amp;IF(TITLE_DATE_PR_CHANGE="","утверждении","изменении")&amp;" тарифов"</f>
        <v>Дата подачи заявления об утверждении тарифов</v>
      </c>
      <c r="T36" s="2278"/>
      <c r="U36" s="1381"/>
      <c r="V36" s="2292" t="str">
        <f>IF(TITLE_DATE_PR_CHANGE="",IF(TITLE_DATE_PR="","",TITLE_DATE_PR),TITLE_DATE_PR_CHANGE)</f>
        <v/>
      </c>
      <c r="W36" s="2292"/>
      <c r="X36" s="2292"/>
      <c r="Y36" s="2292"/>
      <c r="Z36" s="2292"/>
      <c r="AA36" s="2292"/>
      <c r="AB36" s="2292"/>
      <c r="AC36" s="335"/>
      <c r="AD36" s="2292" t="str">
        <f>IF(TITLE_DATE_PR_CHANGE="",IF(TITLE_DATE_PR="","",TITLE_DATE_PR),TITLE_DATE_PR_CHANGE)</f>
        <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335"/>
      <c r="BB36" s="335"/>
      <c r="BC36" s="289"/>
      <c r="BD36" s="377"/>
      <c r="BE36" s="377"/>
      <c r="BF36" s="377"/>
      <c r="BG36" s="377"/>
      <c r="BH36" s="377"/>
      <c r="BI36" s="427">
        <v>0</v>
      </c>
    </row>
    <row s="1859" customFormat="1" customHeight="1" ht="18.75" hidden="1">
      <c r="A37" s="1377"/>
      <c r="B37" s="1377"/>
      <c r="C37" s="1377"/>
      <c r="D37" s="1377"/>
      <c r="E37" s="1377"/>
      <c r="F37" s="1377"/>
      <c r="G37" s="1377"/>
      <c r="H37" s="1377"/>
      <c r="I37" s="1377"/>
      <c r="J37" s="1377"/>
      <c r="K37" s="1377"/>
      <c r="L37" s="1378"/>
      <c r="M37" s="1377"/>
      <c r="N37" s="1377"/>
      <c r="O37" s="1377"/>
      <c r="P37" s="1377"/>
      <c r="Q37" s="1377"/>
      <c r="S37" s="2278" t="str">
        <f>"Номер подачи заявления об "&amp;IF(TITLE_DATE_PR_CHANGE="","утверждении","изменении")&amp;" тарифов"</f>
        <v>Номер подачи заявления об утверждении тарифов</v>
      </c>
      <c r="T37" s="2278"/>
      <c r="U37" s="1381"/>
      <c r="V37" s="2279" t="str">
        <f>IF(TITLE_NUMBER_PR_CHANGE="",IF(TITLE_NUMBER_PR="","",TITLE_NUMBER_PR),TITLE_NUMBER_PR_CHANGE)</f>
        <v/>
      </c>
      <c r="W37" s="2279"/>
      <c r="X37" s="2279"/>
      <c r="Y37" s="2279"/>
      <c r="Z37" s="2279"/>
      <c r="AA37" s="2279"/>
      <c r="AB37" s="2279"/>
      <c r="AC37" s="335"/>
      <c r="AD37" s="2279" t="str">
        <f>IF(TITLE_NUMBER_PR_CHANGE="",IF(TITLE_NUMBER_PR="","",TITLE_NUMBER_PR),TITLE_NUMBER_PR_CHANGE)</f>
        <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335"/>
      <c r="BB37" s="335"/>
      <c r="BC37" s="289"/>
      <c r="BD37" s="377"/>
      <c r="BE37" s="377"/>
      <c r="BF37" s="377"/>
      <c r="BG37" s="377"/>
      <c r="BH37" s="377"/>
      <c r="BI37" s="427">
        <v>0</v>
      </c>
    </row>
    <row s="1859"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97"/>
      <c r="V38" s="335"/>
      <c r="W38" s="335"/>
      <c r="X38" s="335"/>
      <c r="Y38" s="335"/>
      <c r="Z38" s="335"/>
      <c r="AA38" s="335"/>
      <c r="AB38" s="335"/>
      <c r="AC38" s="287" t="s">
        <v>438</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438</v>
      </c>
      <c r="BD38" s="377"/>
      <c r="BE38" s="377"/>
      <c r="BF38" s="377"/>
      <c r="BG38" s="377"/>
      <c r="BH38" s="377"/>
      <c r="BI38" s="427">
        <v>0</v>
      </c>
    </row>
    <row customHeight="1" ht="14.699999999999998">
      <c r="Q39" s="300"/>
      <c r="R39" s="385"/>
      <c r="S39" s="1284"/>
      <c r="T39" s="372"/>
      <c r="U39" s="1253"/>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164">
        <v>14</v>
      </c>
    </row>
    <row customHeight="1" ht="14.699999999999998">
      <c r="Q40" s="300"/>
      <c r="R40" s="385"/>
      <c r="S40" s="2155" t="s">
        <v>315</v>
      </c>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c r="AS40" s="2155"/>
      <c r="AT40" s="2155"/>
      <c r="AU40" s="2155"/>
      <c r="AV40" s="2155"/>
      <c r="AW40" s="2155"/>
      <c r="AX40" s="2155"/>
      <c r="AY40" s="2155"/>
      <c r="AZ40" s="2155"/>
      <c r="BA40" s="2155"/>
      <c r="BB40" s="2155"/>
      <c r="BC40" s="2155" t="s">
        <v>316</v>
      </c>
      <c r="BI40" s="1164">
        <v>14</v>
      </c>
    </row>
    <row customHeight="1" ht="14.699999999999998">
      <c r="Q41" s="300"/>
      <c r="R41" s="385"/>
      <c r="S41" s="2301" t="s">
        <v>89</v>
      </c>
      <c r="T41" s="2237" t="s">
        <v>520</v>
      </c>
      <c r="U41" s="310"/>
      <c r="V41" s="2302" t="s">
        <v>440</v>
      </c>
      <c r="W41" s="2303"/>
      <c r="X41" s="2303"/>
      <c r="Y41" s="2303"/>
      <c r="Z41" s="2303"/>
      <c r="AA41" s="2303"/>
      <c r="AB41" s="2304"/>
      <c r="AC41" s="2305" t="s">
        <v>441</v>
      </c>
      <c r="AD41" s="2356" t="s">
        <v>537</v>
      </c>
      <c r="AE41" s="2319"/>
      <c r="AF41" s="2319"/>
      <c r="AG41" s="2357"/>
      <c r="AH41" s="2356" t="s">
        <v>538</v>
      </c>
      <c r="AI41" s="2319"/>
      <c r="AJ41" s="2319"/>
      <c r="AK41" s="2357"/>
      <c r="AL41" s="2356" t="s">
        <v>539</v>
      </c>
      <c r="AM41" s="2319"/>
      <c r="AN41" s="2319"/>
      <c r="AO41" s="2357"/>
      <c r="AP41" s="2356" t="s">
        <v>524</v>
      </c>
      <c r="AQ41" s="2319"/>
      <c r="AR41" s="2319"/>
      <c r="AS41" s="2357"/>
      <c r="AT41" s="2302" t="s">
        <v>440</v>
      </c>
      <c r="AU41" s="2303"/>
      <c r="AV41" s="2303"/>
      <c r="AW41" s="2303"/>
      <c r="AX41" s="2303"/>
      <c r="AY41" s="2303"/>
      <c r="AZ41" s="2304"/>
      <c r="BA41" s="2305" t="s">
        <v>441</v>
      </c>
      <c r="BB41" s="2308" t="s">
        <v>443</v>
      </c>
      <c r="BC41" s="2155"/>
      <c r="BI41" s="1164">
        <v>14</v>
      </c>
    </row>
    <row customHeight="1" ht="35.699999999999996">
      <c r="Q42" s="300"/>
      <c r="R42" s="385"/>
      <c r="S42" s="2301"/>
      <c r="T42" s="2237"/>
      <c r="U42" s="1040"/>
      <c r="V42" s="2220" t="s">
        <v>525</v>
      </c>
      <c r="W42" s="2221"/>
      <c r="X42" s="2220" t="s">
        <v>526</v>
      </c>
      <c r="Y42" s="2221"/>
      <c r="Z42" s="2322" t="s">
        <v>527</v>
      </c>
      <c r="AA42" s="2341"/>
      <c r="AB42" s="2342"/>
      <c r="AC42" s="2306"/>
      <c r="AD42" s="2358"/>
      <c r="AE42" s="2359"/>
      <c r="AF42" s="2359"/>
      <c r="AG42" s="2360"/>
      <c r="AH42" s="2358"/>
      <c r="AI42" s="2359"/>
      <c r="AJ42" s="2359"/>
      <c r="AK42" s="2360"/>
      <c r="AL42" s="2358"/>
      <c r="AM42" s="2359"/>
      <c r="AN42" s="2359"/>
      <c r="AO42" s="2360"/>
      <c r="AP42" s="2358"/>
      <c r="AQ42" s="2359"/>
      <c r="AR42" s="2359"/>
      <c r="AS42" s="2360"/>
      <c r="AT42" s="2220" t="s">
        <v>540</v>
      </c>
      <c r="AU42" s="2221"/>
      <c r="AV42" s="2220" t="s">
        <v>541</v>
      </c>
      <c r="AW42" s="2221"/>
      <c r="AX42" s="2322" t="s">
        <v>527</v>
      </c>
      <c r="AY42" s="2341"/>
      <c r="AZ42" s="2342"/>
      <c r="BA42" s="2306"/>
      <c r="BB42" s="2309"/>
      <c r="BC42" s="2155"/>
      <c r="BI42" s="1164">
        <v>34</v>
      </c>
    </row>
    <row customHeight="1" ht="14.699999999999998">
      <c r="Q43" s="300"/>
      <c r="R43" s="385"/>
      <c r="S43" s="2301"/>
      <c r="T43" s="2237"/>
      <c r="U43" s="1040"/>
      <c r="V43" s="2228"/>
      <c r="W43" s="2229"/>
      <c r="X43" s="2228"/>
      <c r="Y43" s="2229"/>
      <c r="Z43" s="2323"/>
      <c r="AA43" s="2343"/>
      <c r="AB43" s="2344"/>
      <c r="AC43" s="2306"/>
      <c r="AD43" s="2358"/>
      <c r="AE43" s="2359"/>
      <c r="AF43" s="2359"/>
      <c r="AG43" s="2360"/>
      <c r="AH43" s="2358"/>
      <c r="AI43" s="2359"/>
      <c r="AJ43" s="2359"/>
      <c r="AK43" s="2360"/>
      <c r="AL43" s="2358"/>
      <c r="AM43" s="2359"/>
      <c r="AN43" s="2359"/>
      <c r="AO43" s="2360"/>
      <c r="AP43" s="2358"/>
      <c r="AQ43" s="2359"/>
      <c r="AR43" s="2359"/>
      <c r="AS43" s="2360"/>
      <c r="AT43" s="2228"/>
      <c r="AU43" s="2229"/>
      <c r="AV43" s="2228"/>
      <c r="AW43" s="2229"/>
      <c r="AX43" s="2323"/>
      <c r="AY43" s="2343"/>
      <c r="AZ43" s="2344"/>
      <c r="BA43" s="2306"/>
      <c r="BB43" s="2309"/>
      <c r="BC43" s="2155"/>
      <c r="BI43" s="1164">
        <v>14</v>
      </c>
    </row>
    <row customHeight="1" ht="14.699999999999998">
      <c r="A44" s="1379"/>
      <c r="B44" s="1379" t="s">
        <v>152</v>
      </c>
      <c r="C44" s="1379" t="s">
        <v>153</v>
      </c>
      <c r="D44" s="1379" t="s">
        <v>154</v>
      </c>
      <c r="E44" s="1373" t="s">
        <v>448</v>
      </c>
      <c r="F44" s="1373" t="s">
        <v>449</v>
      </c>
      <c r="G44" s="1373" t="s">
        <v>450</v>
      </c>
      <c r="H44" s="1373" t="s">
        <v>451</v>
      </c>
      <c r="I44" s="1373" t="s">
        <v>452</v>
      </c>
      <c r="J44" s="1373" t="s">
        <v>453</v>
      </c>
      <c r="K44" s="1373" t="s">
        <v>454</v>
      </c>
      <c r="L44" s="1373" t="s">
        <v>433</v>
      </c>
      <c r="Q44" s="300"/>
      <c r="R44" s="385"/>
      <c r="S44" s="2301"/>
      <c r="T44" s="2237"/>
      <c r="U44" s="311"/>
      <c r="V44" s="1488" t="s">
        <v>489</v>
      </c>
      <c r="W44" s="1488" t="s">
        <v>490</v>
      </c>
      <c r="X44" s="1488" t="s">
        <v>489</v>
      </c>
      <c r="Y44" s="1488" t="s">
        <v>490</v>
      </c>
      <c r="Z44" s="1498" t="s">
        <v>457</v>
      </c>
      <c r="AA44" s="2298" t="s">
        <v>458</v>
      </c>
      <c r="AB44" s="2299"/>
      <c r="AC44" s="2307"/>
      <c r="AD44" s="2361"/>
      <c r="AE44" s="2362"/>
      <c r="AF44" s="2362"/>
      <c r="AG44" s="2363"/>
      <c r="AH44" s="2361"/>
      <c r="AI44" s="2362"/>
      <c r="AJ44" s="2362"/>
      <c r="AK44" s="2363"/>
      <c r="AL44" s="2361"/>
      <c r="AM44" s="2362"/>
      <c r="AN44" s="2362"/>
      <c r="AO44" s="2363"/>
      <c r="AP44" s="2361"/>
      <c r="AQ44" s="2362"/>
      <c r="AR44" s="2362"/>
      <c r="AS44" s="2363"/>
      <c r="AT44" s="1488" t="s">
        <v>489</v>
      </c>
      <c r="AU44" s="1488" t="s">
        <v>490</v>
      </c>
      <c r="AV44" s="1488" t="s">
        <v>489</v>
      </c>
      <c r="AW44" s="1488" t="s">
        <v>490</v>
      </c>
      <c r="AX44" s="1498" t="s">
        <v>457</v>
      </c>
      <c r="AY44" s="2298" t="s">
        <v>458</v>
      </c>
      <c r="AZ44" s="2299"/>
      <c r="BA44" s="2307"/>
      <c r="BB44" s="2310"/>
      <c r="BC44" s="2155"/>
      <c r="BI44" s="1164">
        <v>14</v>
      </c>
    </row>
    <row s="1650" customFormat="1" customHeight="1" ht="11.25" hidden="1">
      <c r="A45" s="1379"/>
      <c r="B45" s="1379"/>
      <c r="C45" s="1379"/>
      <c r="D45" s="1379"/>
      <c r="E45" s="1379"/>
      <c r="F45" s="1379"/>
      <c r="G45" s="1379"/>
      <c r="H45" s="1379"/>
      <c r="I45" s="1379"/>
      <c r="J45" s="1379"/>
      <c r="K45" s="1379"/>
      <c r="L45" s="1373"/>
      <c r="M45" s="1371"/>
      <c r="N45" s="1371"/>
      <c r="O45" s="1371"/>
      <c r="P45" s="519"/>
      <c r="Q45" s="1263"/>
      <c r="R45" s="1263">
        <v>1</v>
      </c>
      <c r="S45" s="1286" t="s">
        <v>118</v>
      </c>
      <c r="T45" s="1264" t="s">
        <v>103</v>
      </c>
      <c r="U45" s="1254" t="str">
        <f>OFFSET(U45,0,-1)</f>
        <v>2</v>
      </c>
      <c r="V45" s="1491">
        <f>OFFSET(V45,0,-1)+1</f>
        <v>3</v>
      </c>
      <c r="W45" s="1491">
        <f>OFFSET(W45,0,-1)+1</f>
        <v>4</v>
      </c>
      <c r="X45" s="1491">
        <f>OFFSET(X45,0,-1)+1</f>
        <v>5</v>
      </c>
      <c r="Y45" s="1491">
        <f>OFFSET(Y45,0,-1)+1</f>
        <v>6</v>
      </c>
      <c r="Z45" s="1491">
        <f>OFFSET(Z45,0,-1)+1</f>
        <v>7</v>
      </c>
      <c r="AA45" s="2300">
        <f>OFFSET(AA45,0,-1)+1</f>
        <v>8</v>
      </c>
      <c r="AB45" s="2300"/>
      <c r="AC45" s="1491">
        <f>OFFSET(AC45,0,-2)+1</f>
        <v>9</v>
      </c>
      <c r="AD45" s="1491">
        <f>OFFSET(AD45,0,-1)+1</f>
        <v>10</v>
      </c>
      <c r="AE45" s="1491"/>
      <c r="AF45" s="1491"/>
      <c r="AG45" s="1491"/>
      <c r="AH45" s="1491"/>
      <c r="AI45" s="1491"/>
      <c r="AJ45" s="1491"/>
      <c r="AK45" s="1491"/>
      <c r="AL45" s="1491"/>
      <c r="AM45" s="1491"/>
      <c r="AN45" s="1491"/>
      <c r="AO45" s="1491"/>
      <c r="AP45" s="1491"/>
      <c r="AQ45" s="1491"/>
      <c r="AR45" s="1491"/>
      <c r="AS45" s="1491"/>
      <c r="AT45" s="1491"/>
      <c r="AU45" s="1491"/>
      <c r="AV45" s="1491"/>
      <c r="AW45" s="1491">
        <f>OFFSET(AW45,0,-1)+1</f>
        <v>1</v>
      </c>
      <c r="AX45" s="1491">
        <f>OFFSET(AX45,0,-1)+1</f>
        <v>2</v>
      </c>
      <c r="AY45" s="2300">
        <f>OFFSET(AY45,0,-1)+1</f>
        <v>3</v>
      </c>
      <c r="AZ45" s="2300"/>
      <c r="BA45" s="1491">
        <f>OFFSET(BA45,0,-2)+1</f>
        <v>4</v>
      </c>
      <c r="BB45" s="1254">
        <f>OFFSET(BB45,0,-1)</f>
        <v>4</v>
      </c>
      <c r="BC45" s="1491">
        <f>OFFSET(BC45,0,-1)+1</f>
        <v>5</v>
      </c>
      <c r="BD45" s="520"/>
      <c r="BE45" s="520"/>
      <c r="BF45" s="520"/>
      <c r="BG45" s="520"/>
      <c r="BH45" s="520"/>
      <c r="BI45" s="505">
        <v>0</v>
      </c>
    </row>
    <row customHeight="1" ht="22.049999999999997">
      <c r="A46" s="1372" t="s">
        <v>291</v>
      </c>
      <c r="B46" s="1372"/>
      <c r="C46" s="1372"/>
      <c r="D46" s="1372"/>
      <c r="E46" s="2286">
        <v>1</v>
      </c>
      <c r="F46" s="1372"/>
      <c r="G46" s="1372"/>
      <c r="H46" s="1372"/>
      <c r="I46" s="1372"/>
      <c r="J46" s="1372"/>
      <c r="K46" s="1372"/>
      <c r="L46" s="1373"/>
      <c r="M46" s="1374"/>
      <c r="N46" s="1374"/>
      <c r="O46" s="1374"/>
      <c r="P46" s="1418"/>
      <c r="Q46" s="882"/>
      <c r="R46" s="364"/>
      <c r="S46" s="1502">
        <f>INDEX(PT_DIFFERENTIATION_NUM_NTAR,MATCH(A46,PT_DIFFERENTIATION_NTAR_ID,0))</f>
        <v>0</v>
      </c>
      <c r="T46" s="307" t="s">
        <v>140</v>
      </c>
      <c r="U46" s="309"/>
      <c r="V46" s="2271"/>
      <c r="W46" s="2271"/>
      <c r="X46" s="2271"/>
      <c r="Y46" s="2271"/>
      <c r="Z46" s="2271"/>
      <c r="AA46" s="2271"/>
      <c r="AB46" s="2271"/>
      <c r="AC46" s="2272"/>
      <c r="AD46" s="2270" t="str">
        <f>INDEX(PT_DIFFERENTIATION_NTAR,MATCH(A46,PT_DIFFERENTIATION_NTAR_ID,0))</f>
        <v/>
      </c>
      <c r="AE46" s="2271"/>
      <c r="AF46" s="2271"/>
      <c r="AG46" s="2271"/>
      <c r="AH46" s="2271"/>
      <c r="AI46" s="2271"/>
      <c r="AJ46" s="2271"/>
      <c r="AK46" s="2271"/>
      <c r="AL46" s="2271"/>
      <c r="AM46" s="2271"/>
      <c r="AN46" s="2271"/>
      <c r="AO46" s="2271"/>
      <c r="AP46" s="2271"/>
      <c r="AQ46" s="2271"/>
      <c r="AR46" s="2271"/>
      <c r="AS46" s="2271"/>
      <c r="AT46" s="2271"/>
      <c r="AU46" s="2271"/>
      <c r="AV46" s="2271"/>
      <c r="AW46" s="2271"/>
      <c r="AX46" s="2271"/>
      <c r="AY46" s="2271"/>
      <c r="AZ46" s="2271"/>
      <c r="BA46" s="2271"/>
      <c r="BB46" s="2272"/>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291</v>
      </c>
      <c r="B47" s="1372" t="s">
        <v>292</v>
      </c>
      <c r="C47" s="1372"/>
      <c r="D47" s="1372"/>
      <c r="E47" s="2287"/>
      <c r="F47" s="2286">
        <v>1</v>
      </c>
      <c r="G47" s="1372"/>
      <c r="H47" s="1372"/>
      <c r="I47" s="1372"/>
      <c r="J47" s="1372"/>
      <c r="K47" s="1372"/>
      <c r="L47" s="1373"/>
      <c r="M47" s="1374"/>
      <c r="N47" s="1374"/>
      <c r="O47" s="1374"/>
      <c r="P47" s="1419"/>
      <c r="Q47" s="1420"/>
      <c r="R47" s="362"/>
      <c r="S47" s="1502" t="str">
        <f>INDEX(PT_DIFFERENTIATION_NUM_TER,MATCH(B47,PT_DIFFERENTIATION_TER_ID,0))</f>
        <v>.</v>
      </c>
      <c r="T47" s="317" t="s">
        <v>412</v>
      </c>
      <c r="U47" s="309"/>
      <c r="V47" s="2271"/>
      <c r="W47" s="2271"/>
      <c r="X47" s="2271"/>
      <c r="Y47" s="2271"/>
      <c r="Z47" s="2271"/>
      <c r="AA47" s="2271"/>
      <c r="AB47" s="2271"/>
      <c r="AC47" s="2272"/>
      <c r="AD47" s="2270" t="str">
        <f>INDEX(PT_DIFFERENTIATION_TER,MATCH(B47,PT_DIFFERENTIATION_TER_ID,0))</f>
        <v/>
      </c>
      <c r="AE47" s="2271"/>
      <c r="AF47" s="2271"/>
      <c r="AG47" s="2271"/>
      <c r="AH47" s="2271"/>
      <c r="AI47" s="2271"/>
      <c r="AJ47" s="2271"/>
      <c r="AK47" s="2271"/>
      <c r="AL47" s="2271"/>
      <c r="AM47" s="2271"/>
      <c r="AN47" s="2271"/>
      <c r="AO47" s="2271"/>
      <c r="AP47" s="2271"/>
      <c r="AQ47" s="2271"/>
      <c r="AR47" s="2271"/>
      <c r="AS47" s="2271"/>
      <c r="AT47" s="2271"/>
      <c r="AU47" s="2271"/>
      <c r="AV47" s="2271"/>
      <c r="AW47" s="2271"/>
      <c r="AX47" s="2271"/>
      <c r="AY47" s="2271"/>
      <c r="AZ47" s="2271"/>
      <c r="BA47" s="2271"/>
      <c r="BB47" s="2272"/>
      <c r="BC47" s="1267" t="s">
        <v>413</v>
      </c>
      <c r="BE47" s="509"/>
      <c r="BF47" s="509" t="str">
        <f>IF(T47="","",T47)</f>
        <v>Территория действия тарифа</v>
      </c>
      <c r="BG47" s="509"/>
      <c r="BH47" s="509"/>
      <c r="BI47" s="1164">
        <v>21</v>
      </c>
    </row>
    <row customHeight="1" ht="35.699999999999996">
      <c r="A48" s="1372" t="s">
        <v>291</v>
      </c>
      <c r="B48" s="1372" t="s">
        <v>292</v>
      </c>
      <c r="C48" s="1372" t="s">
        <v>293</v>
      </c>
      <c r="D48" s="1372"/>
      <c r="E48" s="2287"/>
      <c r="F48" s="2287"/>
      <c r="G48" s="2286">
        <v>1</v>
      </c>
      <c r="H48" s="1372"/>
      <c r="I48" s="1372"/>
      <c r="J48" s="1372"/>
      <c r="K48" s="1372"/>
      <c r="L48" s="1373"/>
      <c r="M48" s="1374"/>
      <c r="N48" s="1374"/>
      <c r="O48" s="1374"/>
      <c r="P48" s="1421"/>
      <c r="Q48" s="1420"/>
      <c r="R48" s="362"/>
      <c r="S48" s="1502" t="str">
        <f>INDEX(PT_DIFFERENTIATION_NUM_CS,MATCH(C48,PT_DIFFERENTIATION_CS_ID,0))</f>
        <v>..</v>
      </c>
      <c r="T48" s="318" t="s">
        <v>529</v>
      </c>
      <c r="U48" s="309"/>
      <c r="V48" s="2271"/>
      <c r="W48" s="2271"/>
      <c r="X48" s="2271"/>
      <c r="Y48" s="2271"/>
      <c r="Z48" s="2271"/>
      <c r="AA48" s="2271"/>
      <c r="AB48" s="2271"/>
      <c r="AC48" s="2272"/>
      <c r="AD48" s="2270" t="str">
        <f>INDEX(PT_DIFFERENTIATION_CS,MATCH(C48,PT_DIFFERENTIATION_CS_ID,0))</f>
        <v/>
      </c>
      <c r="AE48" s="2271"/>
      <c r="AF48" s="2271"/>
      <c r="AG48" s="2271"/>
      <c r="AH48" s="2271"/>
      <c r="AI48" s="2271"/>
      <c r="AJ48" s="2271"/>
      <c r="AK48" s="2271"/>
      <c r="AL48" s="2271"/>
      <c r="AM48" s="2271"/>
      <c r="AN48" s="2271"/>
      <c r="AO48" s="2271"/>
      <c r="AP48" s="2271"/>
      <c r="AQ48" s="2271"/>
      <c r="AR48" s="2271"/>
      <c r="AS48" s="2271"/>
      <c r="AT48" s="2271"/>
      <c r="AU48" s="2271"/>
      <c r="AV48" s="2271"/>
      <c r="AW48" s="2271"/>
      <c r="AX48" s="2271"/>
      <c r="AY48" s="2271"/>
      <c r="AZ48" s="2271"/>
      <c r="BA48" s="2271"/>
      <c r="BB48" s="2272"/>
      <c r="BC48" s="1267" t="s">
        <v>530</v>
      </c>
      <c r="BE48" s="509"/>
      <c r="BF48" s="509" t="str">
        <f>IF(T48="","",T48)</f>
        <v>Наименование централизованной системы водоотведения</v>
      </c>
      <c r="BG48" s="509"/>
      <c r="BH48" s="509"/>
      <c r="BI48" s="1164">
        <v>34</v>
      </c>
    </row>
    <row s="1651" customFormat="1" customHeight="1" ht="0">
      <c r="A49" s="1352" t="s">
        <v>291</v>
      </c>
      <c r="B49" s="1352" t="s">
        <v>292</v>
      </c>
      <c r="C49" s="1352" t="s">
        <v>293</v>
      </c>
      <c r="D49" s="1352" t="s">
        <v>542</v>
      </c>
      <c r="E49" s="2287"/>
      <c r="F49" s="2287"/>
      <c r="G49" s="2287"/>
      <c r="H49" s="2286">
        <v>1</v>
      </c>
      <c r="I49" s="1352"/>
      <c r="J49" s="1352"/>
      <c r="K49" s="1352"/>
      <c r="L49" s="1355"/>
      <c r="M49" s="1324"/>
      <c r="N49" s="1324"/>
      <c r="O49" s="1324"/>
      <c r="P49" s="1506"/>
      <c r="Q49" s="1507"/>
      <c r="R49" s="366"/>
      <c r="S49" s="1051"/>
      <c r="T49" s="1508"/>
      <c r="U49" s="1393"/>
      <c r="V49" s="2325"/>
      <c r="W49" s="2325"/>
      <c r="X49" s="2325"/>
      <c r="Y49" s="2325"/>
      <c r="Z49" s="2325"/>
      <c r="AA49" s="2325"/>
      <c r="AB49" s="2325"/>
      <c r="AC49" s="2326"/>
      <c r="AD49" s="2324"/>
      <c r="AE49" s="2325"/>
      <c r="AF49" s="2325"/>
      <c r="AG49" s="2325"/>
      <c r="AH49" s="2325"/>
      <c r="AI49" s="2325"/>
      <c r="AJ49" s="2325"/>
      <c r="AK49" s="2325"/>
      <c r="AL49" s="2325"/>
      <c r="AM49" s="2325"/>
      <c r="AN49" s="2325"/>
      <c r="AO49" s="2325"/>
      <c r="AP49" s="2325"/>
      <c r="AQ49" s="2325"/>
      <c r="AR49" s="2325"/>
      <c r="AS49" s="2325"/>
      <c r="AT49" s="2325"/>
      <c r="AU49" s="2325"/>
      <c r="AV49" s="2325"/>
      <c r="AW49" s="2325"/>
      <c r="AX49" s="2325"/>
      <c r="AY49" s="2325"/>
      <c r="AZ49" s="2325"/>
      <c r="BA49" s="2325"/>
      <c r="BB49" s="2326"/>
      <c r="BC49" s="1394" t="s">
        <v>417</v>
      </c>
      <c r="BE49" s="509"/>
      <c r="BF49" s="509" t="str">
        <f>IF(T49="","",T49)</f>
        <v/>
      </c>
      <c r="BG49" s="509"/>
      <c r="BH49" s="509"/>
      <c r="BI49" s="520">
        <v>0</v>
      </c>
    </row>
    <row s="1651" customFormat="1" customHeight="1" ht="0">
      <c r="A50" s="1352" t="s">
        <v>291</v>
      </c>
      <c r="B50" s="1352" t="s">
        <v>292</v>
      </c>
      <c r="C50" s="1352" t="s">
        <v>293</v>
      </c>
      <c r="D50" s="1352" t="s">
        <v>542</v>
      </c>
      <c r="E50" s="2287"/>
      <c r="F50" s="2287"/>
      <c r="G50" s="2287"/>
      <c r="H50" s="2287"/>
      <c r="I50" s="2284" t="str">
        <f>S49&amp;".1"</f>
        <v>.1</v>
      </c>
      <c r="J50" s="1352"/>
      <c r="K50" s="1352"/>
      <c r="L50" s="1355" t="s">
        <v>418</v>
      </c>
      <c r="M50" s="519"/>
      <c r="N50" s="519"/>
      <c r="O50" s="519"/>
      <c r="P50" s="2285">
        <v>1</v>
      </c>
      <c r="Q50" s="1490"/>
      <c r="R50" s="365"/>
      <c r="S50" s="1051"/>
      <c r="T50" s="1392"/>
      <c r="U50" s="1393"/>
      <c r="V50" s="2325"/>
      <c r="W50" s="2325"/>
      <c r="X50" s="2325"/>
      <c r="Y50" s="2325"/>
      <c r="Z50" s="2325"/>
      <c r="AA50" s="2325"/>
      <c r="AB50" s="2325"/>
      <c r="AC50" s="2326"/>
      <c r="AD50" s="2324"/>
      <c r="AE50" s="2325"/>
      <c r="AF50" s="2325"/>
      <c r="AG50" s="2325"/>
      <c r="AH50" s="2325"/>
      <c r="AI50" s="2325"/>
      <c r="AJ50" s="2325"/>
      <c r="AK50" s="2325"/>
      <c r="AL50" s="2325"/>
      <c r="AM50" s="2325"/>
      <c r="AN50" s="2325"/>
      <c r="AO50" s="2325"/>
      <c r="AP50" s="2325"/>
      <c r="AQ50" s="2325"/>
      <c r="AR50" s="2325"/>
      <c r="AS50" s="2325"/>
      <c r="AT50" s="2325"/>
      <c r="AU50" s="2325"/>
      <c r="AV50" s="2325"/>
      <c r="AW50" s="2325"/>
      <c r="AX50" s="2325"/>
      <c r="AY50" s="2325"/>
      <c r="AZ50" s="2325"/>
      <c r="BA50" s="2325"/>
      <c r="BB50" s="2326"/>
      <c r="BC50" s="1394"/>
      <c r="BE50" s="509"/>
      <c r="BF50" s="509" t="str">
        <f>IF(T50="","",T50)</f>
        <v/>
      </c>
      <c r="BG50" s="509"/>
      <c r="BH50" s="509"/>
      <c r="BI50" s="520">
        <v>0</v>
      </c>
    </row>
    <row s="1651" customFormat="1" customHeight="1" ht="0">
      <c r="A51" s="1352" t="s">
        <v>291</v>
      </c>
      <c r="B51" s="1352" t="s">
        <v>292</v>
      </c>
      <c r="C51" s="1352" t="s">
        <v>293</v>
      </c>
      <c r="D51" s="1352" t="s">
        <v>542</v>
      </c>
      <c r="E51" s="2287"/>
      <c r="F51" s="2287"/>
      <c r="G51" s="2287"/>
      <c r="H51" s="2287"/>
      <c r="I51" s="2314"/>
      <c r="J51" s="2284" t="str">
        <f>S49&amp;".1"</f>
        <v>.1</v>
      </c>
      <c r="K51" s="1352"/>
      <c r="L51" s="1355"/>
      <c r="M51" s="519"/>
      <c r="N51" s="519"/>
      <c r="O51" s="519"/>
      <c r="P51" s="2285"/>
      <c r="Q51" s="2285">
        <v>1</v>
      </c>
      <c r="R51" s="366"/>
      <c r="S51" s="1051"/>
      <c r="T51" s="1408"/>
      <c r="U51" s="1393"/>
      <c r="V51" s="2325"/>
      <c r="W51" s="2325"/>
      <c r="X51" s="2325"/>
      <c r="Y51" s="2325"/>
      <c r="Z51" s="2325"/>
      <c r="AA51" s="2325"/>
      <c r="AB51" s="2325"/>
      <c r="AC51" s="2326"/>
      <c r="AD51" s="2324"/>
      <c r="AE51" s="2325"/>
      <c r="AF51" s="2325"/>
      <c r="AG51" s="2325"/>
      <c r="AH51" s="2325"/>
      <c r="AI51" s="2325"/>
      <c r="AJ51" s="2325"/>
      <c r="AK51" s="2325"/>
      <c r="AL51" s="2325"/>
      <c r="AM51" s="2325"/>
      <c r="AN51" s="2392"/>
      <c r="AO51" s="2392"/>
      <c r="AP51" s="2325"/>
      <c r="AQ51" s="2325"/>
      <c r="AR51" s="2325"/>
      <c r="AS51" s="2325"/>
      <c r="AT51" s="2325"/>
      <c r="AU51" s="2325"/>
      <c r="AV51" s="2325"/>
      <c r="AW51" s="2325"/>
      <c r="AX51" s="2325"/>
      <c r="AY51" s="2325"/>
      <c r="AZ51" s="2325"/>
      <c r="BA51" s="2325"/>
      <c r="BB51" s="2326"/>
      <c r="BC51" s="1394"/>
      <c r="BE51" s="509"/>
      <c r="BF51" s="509" t="str">
        <f>IF(T51="","",T51)</f>
        <v/>
      </c>
      <c r="BG51" s="509"/>
      <c r="BH51" s="509"/>
      <c r="BI51" s="520">
        <v>0</v>
      </c>
    </row>
    <row customHeight="1" ht="11.549999999999999">
      <c r="A52" s="1372" t="s">
        <v>291</v>
      </c>
      <c r="B52" s="1372" t="s">
        <v>292</v>
      </c>
      <c r="C52" s="1372" t="s">
        <v>293</v>
      </c>
      <c r="D52" s="1372" t="s">
        <v>542</v>
      </c>
      <c r="E52" s="2287"/>
      <c r="F52" s="2287"/>
      <c r="G52" s="2287"/>
      <c r="H52" s="2287"/>
      <c r="I52" s="2314"/>
      <c r="J52" s="2314"/>
      <c r="K52" s="2284" t="str">
        <f>S48&amp;".1"</f>
        <v>...1</v>
      </c>
      <c r="L52" s="1373"/>
      <c r="P52" s="2285"/>
      <c r="Q52" s="2285"/>
      <c r="R52" s="366">
        <v>1</v>
      </c>
      <c r="S52" s="2369" t="str">
        <f>$K52</f>
        <v>...1</v>
      </c>
      <c r="T52" s="2388"/>
      <c r="U52" s="309"/>
      <c r="V52" s="760"/>
      <c r="W52" s="1266"/>
      <c r="X52" s="760"/>
      <c r="Y52" s="1266"/>
      <c r="Z52" s="1742"/>
      <c r="AA52" s="1478" t="s">
        <v>63</v>
      </c>
      <c r="AB52" s="1742"/>
      <c r="AC52" s="1478" t="s">
        <v>63</v>
      </c>
      <c r="AD52" s="2213" t="s">
        <v>63</v>
      </c>
      <c r="AE52" s="2354"/>
      <c r="AF52" s="2233">
        <v>1</v>
      </c>
      <c r="AG52" s="2391"/>
      <c r="AH52" s="2135" t="s">
        <v>63</v>
      </c>
      <c r="AI52" s="2354"/>
      <c r="AJ52" s="2233">
        <v>1</v>
      </c>
      <c r="AK52" s="2355" t="s">
        <v>22</v>
      </c>
      <c r="AL52" s="2135" t="s">
        <v>63</v>
      </c>
      <c r="AM52" s="2220"/>
      <c r="AN52" s="2233">
        <v>1</v>
      </c>
      <c r="AO52" s="2385"/>
      <c r="AP52" s="2386" t="s">
        <v>63</v>
      </c>
      <c r="AQ52" s="320"/>
      <c r="AR52" s="1495">
        <v>1</v>
      </c>
      <c r="AS52" s="1501" t="s">
        <v>22</v>
      </c>
      <c r="AT52" s="760"/>
      <c r="AU52" s="1266"/>
      <c r="AV52" s="760"/>
      <c r="AW52" s="1266"/>
      <c r="AX52" s="1742"/>
      <c r="AY52" s="1478" t="s">
        <v>63</v>
      </c>
      <c r="AZ52" s="1742"/>
      <c r="BA52" s="1478" t="s">
        <v>63</v>
      </c>
      <c r="BB52" s="1357"/>
      <c r="BC52" s="2281" t="s">
        <v>512</v>
      </c>
      <c r="BE52" s="509"/>
      <c r="BF52" s="509" t="str">
        <f>IF(T52="","",T52)</f>
        <v/>
      </c>
      <c r="BG52" s="509"/>
      <c r="BH52" s="509"/>
      <c r="BI52" s="1164">
        <v>11</v>
      </c>
    </row>
    <row customHeight="1" ht="11.549999999999999">
      <c r="A53" s="1372"/>
      <c r="B53" s="1372"/>
      <c r="C53" s="1372"/>
      <c r="D53" s="1372"/>
      <c r="E53" s="2287"/>
      <c r="F53" s="2287"/>
      <c r="G53" s="2287"/>
      <c r="H53" s="2287"/>
      <c r="I53" s="2314"/>
      <c r="J53" s="2314"/>
      <c r="K53" s="2284"/>
      <c r="L53" s="1373"/>
      <c r="P53" s="2285"/>
      <c r="Q53" s="2285"/>
      <c r="R53" s="366"/>
      <c r="S53" s="2370"/>
      <c r="T53" s="2389"/>
      <c r="U53" s="309"/>
      <c r="V53" s="1402"/>
      <c r="W53" s="1505"/>
      <c r="X53" s="1402"/>
      <c r="Y53" s="1505"/>
      <c r="Z53" s="1402"/>
      <c r="AA53" s="1402"/>
      <c r="AB53" s="1402"/>
      <c r="AC53" s="1402"/>
      <c r="AD53" s="2214"/>
      <c r="AE53" s="2354"/>
      <c r="AF53" s="2233"/>
      <c r="AG53" s="2391"/>
      <c r="AH53" s="2135"/>
      <c r="AI53" s="2354"/>
      <c r="AJ53" s="2233"/>
      <c r="AK53" s="2355"/>
      <c r="AL53" s="2135"/>
      <c r="AM53" s="2228"/>
      <c r="AN53" s="2233"/>
      <c r="AO53" s="2385"/>
      <c r="AP53" s="2387"/>
      <c r="AQ53" s="325"/>
      <c r="AR53" s="425"/>
      <c r="AS53" s="425" t="s">
        <v>513</v>
      </c>
      <c r="AT53" s="1402"/>
      <c r="AU53" s="1505"/>
      <c r="AV53" s="1402"/>
      <c r="AW53" s="1505"/>
      <c r="AX53" s="1402"/>
      <c r="AY53" s="1402"/>
      <c r="AZ53" s="1402"/>
      <c r="BA53" s="1402"/>
      <c r="BB53" s="1406"/>
      <c r="BC53" s="2282"/>
      <c r="BE53" s="509"/>
      <c r="BF53" s="509"/>
      <c r="BG53" s="509"/>
      <c r="BH53" s="509"/>
      <c r="BI53" s="1164">
        <v>11</v>
      </c>
    </row>
    <row customHeight="1" ht="11.549999999999999">
      <c r="A54" s="1372" t="s">
        <v>291</v>
      </c>
      <c r="B54" s="1372"/>
      <c r="C54" s="1372"/>
      <c r="D54" s="1372"/>
      <c r="E54" s="2287"/>
      <c r="F54" s="2287"/>
      <c r="G54" s="2287"/>
      <c r="H54" s="2287"/>
      <c r="I54" s="2314"/>
      <c r="J54" s="2314"/>
      <c r="K54" s="2284"/>
      <c r="L54" s="1373"/>
      <c r="P54" s="2285"/>
      <c r="Q54" s="2285"/>
      <c r="R54" s="366"/>
      <c r="S54" s="2370"/>
      <c r="T54" s="2389"/>
      <c r="U54" s="309"/>
      <c r="V54" s="1402"/>
      <c r="W54" s="1505"/>
      <c r="X54" s="1402"/>
      <c r="Y54" s="1505"/>
      <c r="Z54" s="1402"/>
      <c r="AA54" s="1402"/>
      <c r="AB54" s="1402"/>
      <c r="AC54" s="1402"/>
      <c r="AD54" s="2214"/>
      <c r="AE54" s="2354"/>
      <c r="AF54" s="2233"/>
      <c r="AG54" s="2391"/>
      <c r="AH54" s="2135"/>
      <c r="AI54" s="2354"/>
      <c r="AJ54" s="2233"/>
      <c r="AK54" s="2355"/>
      <c r="AL54" s="2135"/>
      <c r="AM54" s="325"/>
      <c r="AN54" s="1509"/>
      <c r="AO54" s="1509" t="s">
        <v>535</v>
      </c>
      <c r="AP54" s="425"/>
      <c r="AQ54" s="425"/>
      <c r="AR54" s="425"/>
      <c r="AS54" s="1402"/>
      <c r="AT54" s="1402"/>
      <c r="AU54" s="1505"/>
      <c r="AV54" s="1402"/>
      <c r="AW54" s="1505"/>
      <c r="AX54" s="1402"/>
      <c r="AY54" s="1402"/>
      <c r="AZ54" s="1402"/>
      <c r="BA54" s="1402"/>
      <c r="BB54" s="1406"/>
      <c r="BC54" s="2282"/>
      <c r="BE54" s="509"/>
      <c r="BF54" s="509"/>
      <c r="BG54" s="509"/>
      <c r="BH54" s="509"/>
      <c r="BI54" s="1164">
        <v>11</v>
      </c>
    </row>
    <row customHeight="1" ht="11.549999999999999">
      <c r="A55" s="1372" t="s">
        <v>291</v>
      </c>
      <c r="B55" s="1372"/>
      <c r="C55" s="1372"/>
      <c r="D55" s="1372"/>
      <c r="E55" s="2287"/>
      <c r="F55" s="2287"/>
      <c r="G55" s="2287"/>
      <c r="H55" s="2287"/>
      <c r="I55" s="2314"/>
      <c r="J55" s="2314"/>
      <c r="K55" s="2284"/>
      <c r="L55" s="1373"/>
      <c r="P55" s="2285"/>
      <c r="Q55" s="2285"/>
      <c r="R55" s="366"/>
      <c r="S55" s="2370"/>
      <c r="T55" s="2389"/>
      <c r="U55" s="309"/>
      <c r="V55" s="1402"/>
      <c r="W55" s="1505"/>
      <c r="X55" s="1402"/>
      <c r="Y55" s="1505"/>
      <c r="Z55" s="1402"/>
      <c r="AA55" s="1402"/>
      <c r="AB55" s="1402"/>
      <c r="AC55" s="1402"/>
      <c r="AD55" s="2214"/>
      <c r="AE55" s="2354"/>
      <c r="AF55" s="2233"/>
      <c r="AG55" s="2391"/>
      <c r="AH55" s="2135"/>
      <c r="AI55" s="303"/>
      <c r="AJ55" s="424"/>
      <c r="AK55" s="322" t="s">
        <v>536</v>
      </c>
      <c r="AL55" s="1402"/>
      <c r="AM55" s="1402"/>
      <c r="AN55" s="1402"/>
      <c r="AO55" s="1402"/>
      <c r="AP55" s="1402"/>
      <c r="AQ55" s="1402"/>
      <c r="AR55" s="1402"/>
      <c r="AS55" s="1402"/>
      <c r="AT55" s="1402"/>
      <c r="AU55" s="1505"/>
      <c r="AV55" s="1402"/>
      <c r="AW55" s="1505"/>
      <c r="AX55" s="1402"/>
      <c r="AY55" s="1402"/>
      <c r="AZ55" s="1402"/>
      <c r="BA55" s="1402"/>
      <c r="BB55" s="1406"/>
      <c r="BC55" s="2282"/>
      <c r="BE55" s="509"/>
      <c r="BF55" s="509"/>
      <c r="BG55" s="509"/>
      <c r="BH55" s="509"/>
      <c r="BI55" s="1164">
        <v>11</v>
      </c>
    </row>
    <row customHeight="1" ht="11.549999999999999">
      <c r="A56" s="1372" t="s">
        <v>291</v>
      </c>
      <c r="B56" s="1372" t="s">
        <v>292</v>
      </c>
      <c r="C56" s="1372" t="s">
        <v>293</v>
      </c>
      <c r="D56" s="1372" t="s">
        <v>542</v>
      </c>
      <c r="E56" s="2287"/>
      <c r="F56" s="2287"/>
      <c r="G56" s="2287"/>
      <c r="H56" s="2287"/>
      <c r="I56" s="2314"/>
      <c r="J56" s="2314"/>
      <c r="K56" s="2284"/>
      <c r="L56" s="1373"/>
      <c r="P56" s="2285"/>
      <c r="Q56" s="2285"/>
      <c r="R56" s="366"/>
      <c r="S56" s="2371"/>
      <c r="T56" s="2390"/>
      <c r="U56" s="309"/>
      <c r="V56" s="1402"/>
      <c r="W56" s="1403" t="str">
        <f>Z52&amp;"-"&amp;AB52</f>
        <v>-</v>
      </c>
      <c r="X56" s="1402"/>
      <c r="Y56" s="1403" t="str">
        <f>AB52&amp;"-"&amp;AD52</f>
        <v>-да</v>
      </c>
      <c r="Z56" s="1402"/>
      <c r="AA56" s="1402"/>
      <c r="AB56" s="1402"/>
      <c r="AC56" s="1402"/>
      <c r="AD56" s="2140"/>
      <c r="AE56" s="321"/>
      <c r="AF56" s="323"/>
      <c r="AG56" s="425" t="s">
        <v>516</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82"/>
      <c r="BE56" s="509"/>
      <c r="BF56" s="509" t="str">
        <f>IF(T56="","",T56)</f>
        <v/>
      </c>
      <c r="BG56" s="509"/>
      <c r="BH56" s="509"/>
      <c r="BI56" s="1164">
        <v>11</v>
      </c>
    </row>
    <row customHeight="1" ht="11.549999999999999">
      <c r="A57" s="1372" t="s">
        <v>291</v>
      </c>
      <c r="B57" s="1372" t="s">
        <v>292</v>
      </c>
      <c r="C57" s="1372" t="s">
        <v>293</v>
      </c>
      <c r="D57" s="1372" t="s">
        <v>542</v>
      </c>
      <c r="E57" s="2287"/>
      <c r="F57" s="2287"/>
      <c r="G57" s="2287"/>
      <c r="H57" s="2287"/>
      <c r="I57" s="2314"/>
      <c r="J57" s="2284"/>
      <c r="K57" s="1372"/>
      <c r="L57" s="1373"/>
      <c r="P57" s="2285"/>
      <c r="Q57" s="2285"/>
      <c r="R57" s="365"/>
      <c r="S57" s="1287"/>
      <c r="T57" s="296" t="s">
        <v>479</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83"/>
      <c r="BE57" s="509"/>
      <c r="BF57" s="509" t="str">
        <f>IF(T57="","",T57)</f>
        <v>Добавить строку</v>
      </c>
      <c r="BG57" s="509"/>
      <c r="BH57" s="509"/>
      <c r="BI57" s="1164">
        <v>11</v>
      </c>
    </row>
    <row s="1651" customFormat="1" customHeight="1" ht="0">
      <c r="A58" s="1352" t="s">
        <v>291</v>
      </c>
      <c r="B58" s="1352" t="s">
        <v>292</v>
      </c>
      <c r="C58" s="1352" t="s">
        <v>293</v>
      </c>
      <c r="D58" s="1352" t="s">
        <v>542</v>
      </c>
      <c r="E58" s="2287"/>
      <c r="F58" s="2287"/>
      <c r="G58" s="2287"/>
      <c r="H58" s="2287"/>
      <c r="I58" s="2284"/>
      <c r="J58" s="1352"/>
      <c r="K58" s="1352"/>
      <c r="L58" s="1355"/>
      <c r="M58" s="519"/>
      <c r="N58" s="519"/>
      <c r="O58" s="519"/>
      <c r="P58" s="2285"/>
      <c r="Q58" s="1490"/>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291</v>
      </c>
      <c r="B59" s="1352" t="s">
        <v>292</v>
      </c>
      <c r="C59" s="1352" t="s">
        <v>293</v>
      </c>
      <c r="D59" s="1352" t="s">
        <v>542</v>
      </c>
      <c r="E59" s="2287"/>
      <c r="F59" s="2287"/>
      <c r="G59" s="2287"/>
      <c r="H59" s="2286"/>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291</v>
      </c>
      <c r="B60" s="1352" t="s">
        <v>292</v>
      </c>
      <c r="C60" s="1352" t="s">
        <v>293</v>
      </c>
      <c r="D60" s="1323"/>
      <c r="E60" s="2287"/>
      <c r="F60" s="2287"/>
      <c r="G60" s="2286"/>
      <c r="H60" s="1323"/>
      <c r="I60" s="1323"/>
      <c r="J60" s="1323"/>
      <c r="K60" s="1323"/>
      <c r="L60" s="150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291</v>
      </c>
      <c r="B61" s="1352" t="s">
        <v>292</v>
      </c>
      <c r="C61" s="1323"/>
      <c r="D61" s="1323"/>
      <c r="E61" s="2287"/>
      <c r="F61" s="2286"/>
      <c r="G61" s="1323"/>
      <c r="H61" s="1323"/>
      <c r="I61" s="1323"/>
      <c r="J61" s="1323"/>
      <c r="K61" s="1323"/>
      <c r="L61" s="1503"/>
      <c r="M61" s="1330"/>
      <c r="N61" s="1330"/>
      <c r="P61" s="1325"/>
      <c r="Q61" s="1326"/>
      <c r="R61" s="1325"/>
      <c r="S61" s="1331"/>
      <c r="T61" s="1334" t="s">
        <v>430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291</v>
      </c>
      <c r="B62" s="1352"/>
      <c r="C62" s="1352"/>
      <c r="D62" s="1352"/>
      <c r="E62" s="2286"/>
      <c r="F62" s="1352"/>
      <c r="G62" s="1352"/>
      <c r="H62" s="1352"/>
      <c r="I62" s="1352"/>
      <c r="J62" s="1352"/>
      <c r="K62" s="1352"/>
      <c r="L62" s="1355"/>
      <c r="M62" s="1330"/>
      <c r="N62" s="1330"/>
      <c r="O62" s="527"/>
      <c r="P62" s="389"/>
      <c r="Q62" s="1353"/>
      <c r="R62" s="389"/>
      <c r="S62" s="1331"/>
      <c r="T62" s="1334" t="s">
        <v>431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503"/>
      <c r="M63" s="1330"/>
      <c r="N63" s="1330"/>
      <c r="P63" s="1325"/>
      <c r="Q63" s="1326"/>
      <c r="R63" s="1325"/>
      <c r="S63" s="1331"/>
      <c r="T63" s="1334" t="s">
        <v>459</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4.699999999999998">
      <c r="O65" s="546"/>
      <c r="S65" s="1262"/>
      <c r="T65" s="2313"/>
      <c r="U65" s="2313"/>
      <c r="V65" s="2313"/>
      <c r="W65" s="2313"/>
      <c r="X65" s="2313"/>
      <c r="Y65" s="2313"/>
      <c r="Z65" s="2313"/>
      <c r="AA65" s="2313"/>
      <c r="AB65" s="2313"/>
      <c r="AC65" s="2313"/>
      <c r="AD65" s="2313"/>
      <c r="AE65" s="2313"/>
      <c r="AF65" s="2313"/>
      <c r="AG65" s="2313"/>
      <c r="AH65" s="2313"/>
      <c r="AI65" s="2313"/>
      <c r="AJ65" s="2313"/>
      <c r="AK65" s="2313"/>
      <c r="AL65" s="2313"/>
      <c r="AM65" s="2313"/>
      <c r="AN65" s="2313"/>
      <c r="AO65" s="2313"/>
      <c r="AP65" s="2313"/>
      <c r="AQ65" s="2313"/>
      <c r="AR65" s="2313"/>
      <c r="AS65" s="2313"/>
      <c r="AT65" s="2313"/>
      <c r="AU65" s="2313"/>
      <c r="AV65" s="2313"/>
      <c r="AW65" s="2313"/>
      <c r="AX65" s="2313"/>
      <c r="AY65" s="2313"/>
      <c r="AZ65" s="2313"/>
      <c r="BA65" s="2313"/>
      <c r="BB65" s="2313"/>
      <c r="BC65" s="2313"/>
      <c r="BI65" s="1164">
        <v>14</v>
      </c>
    </row>
    <row customHeight="1" ht="14.699999999999998">
      <c r="O66" s="546"/>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89"/>
      <c r="AV66" s="1489"/>
      <c r="AW66" s="1489"/>
      <c r="AX66" s="1489"/>
      <c r="AY66" s="1489"/>
      <c r="AZ66" s="1489"/>
      <c r="BA66" s="1489"/>
      <c r="BB66" s="1489"/>
      <c r="BC66" s="1489"/>
      <c r="BI66" s="1164">
        <v>14</v>
      </c>
    </row>
    <row customHeight="1" ht="14.699999999999998">
      <c r="O67" s="546"/>
      <c r="S67" s="1262"/>
      <c r="T67" s="2313"/>
      <c r="U67" s="2313"/>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R67" s="2313"/>
      <c r="AS67" s="2313"/>
      <c r="AT67" s="2313"/>
      <c r="AU67" s="2313"/>
      <c r="AV67" s="2313"/>
      <c r="AW67" s="2313"/>
      <c r="AX67" s="2313"/>
      <c r="AY67" s="2313"/>
      <c r="AZ67" s="2313"/>
      <c r="BA67" s="2313"/>
      <c r="BB67" s="2313"/>
      <c r="BC67" s="2313"/>
      <c r="BI67" s="1164">
        <v>14</v>
      </c>
    </row>
    <row customHeight="1" ht="14.699999999999998">
      <c r="O68" s="546"/>
      <c r="BI68" s="1164">
        <v>14</v>
      </c>
    </row>
    <row customHeight="1" ht="14.25" hidden="1">
      <c r="A69" s="1169" t="s">
        <v>83</v>
      </c>
      <c r="B69" s="1169">
        <v>0</v>
      </c>
      <c r="C69" s="1169">
        <v>0</v>
      </c>
      <c r="D69" s="1169">
        <v>0</v>
      </c>
      <c r="E69" s="1169">
        <v>0</v>
      </c>
      <c r="F69" s="1169">
        <v>0</v>
      </c>
      <c r="G69" s="1169">
        <v>0</v>
      </c>
      <c r="H69" s="1169">
        <v>0</v>
      </c>
      <c r="I69" s="1169">
        <v>0</v>
      </c>
      <c r="J69" s="1169">
        <v>0</v>
      </c>
      <c r="K69" s="1169">
        <v>0</v>
      </c>
      <c r="L69" s="1487">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F77F7-A0E4-FA0C-6A44-0.4BCAB31F}" mc:Ignorable="x14ac xr xr2 xr3">
  <sheetPr>
    <tabColor rgb="FFCCCCFF"/>
    <pageSetUpPr fitToPage="1"/>
  </sheetPr>
  <dimension ref="A1:AC35"/>
  <sheetViews>
    <sheetView showGridLines="0" zoomScale="90" workbookViewId="0">
      <pane xSplit="6" ySplit="11" topLeftCell="G12" activePane="bottomRight" state="frozen"/>
      <selection pane="bottomLeft" activeCell="A12" sqref="A12"/>
      <selection pane="topRight" activeCell="G1" sqref="G1"/>
      <selection pane="bottomRight" activeCell="G18" sqref="G18"/>
    </sheetView>
  </sheetViews>
  <sheetFormatPr defaultColWidth="9.140625" customHeight="1" defaultRowHeight="14.25"/>
  <cols>
    <col min="1" max="1" style="1644" width="8.00390625" hidden="1" customWidth="1"/>
    <col min="2" max="2" style="1375" width="6.00390625" hidden="1" customWidth="1"/>
    <col min="3" max="3" style="1644" width="3.00390625" customWidth="1"/>
    <col min="4" max="4" style="1848" width="3.00390625" customWidth="1"/>
    <col min="5" max="5" style="1644" width="6.00390625" customWidth="1"/>
    <col min="6" max="6" style="1644" width="2.7109375" hidden="1" customWidth="1"/>
    <col min="7" max="7" style="1644" width="46.7109375" customWidth="1"/>
    <col min="8" max="8" style="1644" width="42.00390625" customWidth="1"/>
    <col min="9" max="9" style="1644" width="14.00390625" customWidth="1"/>
    <col min="10" max="10" style="1633" width="3.00390625" customWidth="1"/>
    <col min="11" max="13" style="1633" width="9.140625" hidden="1"/>
    <col min="14" max="14" style="1633" width="25.7109375" hidden="1" customWidth="1"/>
    <col min="15" max="15" style="1633" width="14.421875" hidden="1" customWidth="1"/>
    <col min="16" max="19" style="234" width="9.140625" hidden="1"/>
    <col min="20" max="27" style="1644" width="9.140625" hidden="1"/>
    <col min="28" max="28" style="1644" width="8.00390625" customWidth="1"/>
    <col min="29" max="29" style="1644" width="9.140625" hidden="1"/>
  </cols>
  <sheetData>
    <row s="1651" customFormat="1" customHeight="1" ht="5.25" hidden="1">
      <c r="A1" s="505"/>
      <c r="B1" s="520"/>
      <c r="C1" s="520"/>
      <c r="D1" s="230"/>
      <c r="F1" s="520"/>
      <c r="G1" s="256" t="s">
        <v>84</v>
      </c>
      <c r="H1" s="503" t="s">
        <v>85</v>
      </c>
      <c r="I1" s="236" t="s">
        <v>86</v>
      </c>
      <c r="J1" s="256" t="s">
        <v>84</v>
      </c>
      <c r="K1" s="256"/>
      <c r="L1" s="256"/>
      <c r="M1" s="256"/>
      <c r="N1" s="257"/>
      <c r="O1" s="256"/>
      <c r="P1" s="256"/>
      <c r="Q1" s="256"/>
      <c r="R1" s="256"/>
      <c r="S1" s="256"/>
      <c r="T1" s="236"/>
      <c r="U1" s="236"/>
      <c r="V1" s="236"/>
      <c r="W1" s="236"/>
      <c r="X1" s="236"/>
      <c r="Y1" s="236"/>
      <c r="Z1" s="236"/>
      <c r="AA1" s="236"/>
      <c r="AB1" s="236"/>
      <c r="AC1" s="161" t="s">
        <v>14</v>
      </c>
    </row>
    <row s="1421" customFormat="1" customHeight="1" ht="11.25">
      <c r="A2" s="840"/>
      <c r="B2" s="237"/>
      <c r="C2" s="237"/>
      <c r="D2" s="238"/>
      <c r="E2" s="237"/>
      <c r="F2" s="237"/>
      <c r="G2" s="237"/>
      <c r="H2" s="237"/>
      <c r="I2" s="237"/>
      <c r="J2" s="256"/>
      <c r="K2" s="256"/>
      <c r="L2" s="256"/>
      <c r="M2" s="256"/>
      <c r="N2" s="257"/>
      <c r="O2" s="256"/>
      <c r="P2" s="239"/>
      <c r="Q2" s="239"/>
      <c r="R2" s="239"/>
      <c r="S2" s="239"/>
      <c r="T2" s="238"/>
      <c r="U2" s="238"/>
      <c r="V2" s="238"/>
      <c r="W2" s="238"/>
      <c r="X2" s="238"/>
      <c r="Y2" s="238"/>
      <c r="Z2" s="238"/>
      <c r="AA2" s="238"/>
      <c r="AB2" s="238"/>
      <c r="AC2" s="240">
        <v>11</v>
      </c>
    </row>
    <row s="1827" customFormat="1" customHeight="1" ht="3">
      <c r="A3" s="767"/>
      <c r="B3" s="426"/>
      <c r="C3" s="767"/>
      <c r="D3" s="173"/>
      <c r="E3" s="112"/>
      <c r="F3" s="518"/>
      <c r="G3" s="112"/>
      <c r="H3" s="112"/>
      <c r="I3" s="175"/>
      <c r="J3" s="256"/>
      <c r="K3" s="164"/>
      <c r="L3" s="164"/>
      <c r="M3" s="164"/>
      <c r="N3" s="235"/>
      <c r="O3" s="164"/>
      <c r="P3" s="234"/>
      <c r="Q3" s="234"/>
      <c r="R3" s="234"/>
      <c r="S3" s="234"/>
      <c r="AC3" s="125">
        <v>3</v>
      </c>
    </row>
    <row s="1827" customFormat="1" customHeight="1" ht="27.299999999999997">
      <c r="A4" s="767"/>
      <c r="B4" s="426"/>
      <c r="C4" s="767"/>
      <c r="D4" s="173"/>
      <c r="E4" s="2128" t="str">
        <f>NameTemplatesInListMO</f>
        <v>Перечень муниципальных районов и муниципальных образований (территорий оказания услуг)</v>
      </c>
      <c r="F4" s="2128"/>
      <c r="G4" s="2128"/>
      <c r="H4" s="2128"/>
      <c r="I4" s="2128"/>
      <c r="J4" s="256"/>
      <c r="K4" s="164"/>
      <c r="L4" s="164"/>
      <c r="M4" s="164"/>
      <c r="N4" s="235"/>
      <c r="O4" s="164"/>
      <c r="P4" s="234"/>
      <c r="Q4" s="234"/>
      <c r="R4" s="234"/>
      <c r="S4" s="234"/>
      <c r="AC4" s="125">
        <v>26</v>
      </c>
    </row>
    <row s="1827" customFormat="1" customHeight="1" ht="3">
      <c r="A5" s="767"/>
      <c r="B5" s="426"/>
      <c r="C5" s="767"/>
      <c r="D5" s="173"/>
      <c r="E5" s="112"/>
      <c r="F5" s="518"/>
      <c r="G5" s="176"/>
      <c r="H5" s="176"/>
      <c r="I5" s="177"/>
      <c r="J5" s="164"/>
      <c r="K5" s="164"/>
      <c r="L5" s="164"/>
      <c r="M5" s="164"/>
      <c r="N5" s="235"/>
      <c r="O5" s="164"/>
      <c r="P5" s="234"/>
      <c r="Q5" s="234"/>
      <c r="R5" s="234"/>
      <c r="S5" s="234"/>
      <c r="AC5" s="125">
        <v>3</v>
      </c>
    </row>
    <row s="1827" customFormat="1" customHeight="1" ht="20.25" hidden="1">
      <c r="A6" s="846"/>
      <c r="B6" s="842"/>
      <c r="C6" s="178"/>
      <c r="D6" s="173"/>
      <c r="E6" s="788"/>
      <c r="F6" s="788"/>
      <c r="G6" s="176"/>
      <c r="H6" s="179"/>
      <c r="I6" s="179"/>
      <c r="J6" s="164"/>
      <c r="K6" s="164"/>
      <c r="L6" s="164"/>
      <c r="M6" s="164"/>
      <c r="N6" s="235"/>
      <c r="O6" s="164"/>
      <c r="P6" s="234"/>
      <c r="Q6" s="234"/>
      <c r="R6" s="234"/>
      <c r="S6" s="234"/>
      <c r="AC6" s="125">
        <v>0</v>
      </c>
    </row>
    <row customHeight="1" ht="25.5" hidden="1">
      <c r="AC7" s="92">
        <v>0</v>
      </c>
    </row>
    <row s="1827" customFormat="1" customHeight="1" ht="14.699999999999998">
      <c r="A8" s="767"/>
      <c r="B8" s="426"/>
      <c r="C8" s="767"/>
      <c r="D8" s="173"/>
      <c r="E8" s="2129" t="s">
        <v>87</v>
      </c>
      <c r="F8" s="2130"/>
      <c r="G8" s="2131"/>
      <c r="H8" s="2132" t="s">
        <v>88</v>
      </c>
      <c r="I8" s="2132"/>
      <c r="J8" s="164"/>
      <c r="K8" s="164"/>
      <c r="L8" s="164"/>
      <c r="M8" s="164"/>
      <c r="N8" s="235"/>
      <c r="O8" s="164"/>
      <c r="P8" s="234"/>
      <c r="Q8" s="234"/>
      <c r="R8" s="234"/>
      <c r="S8" s="234"/>
      <c r="AC8" s="125">
        <v>14</v>
      </c>
    </row>
    <row s="1827" customFormat="1" customHeight="1" ht="21">
      <c r="A9" s="767"/>
      <c r="B9" s="426"/>
      <c r="C9" s="767"/>
      <c r="D9" s="173"/>
      <c r="E9" s="786" t="s">
        <v>89</v>
      </c>
      <c r="F9" s="786"/>
      <c r="G9" s="181" t="s">
        <v>90</v>
      </c>
      <c r="H9" s="181" t="s">
        <v>90</v>
      </c>
      <c r="I9" s="181" t="s">
        <v>86</v>
      </c>
      <c r="J9" s="164"/>
      <c r="K9" s="164"/>
      <c r="L9" s="164"/>
      <c r="M9" s="164"/>
      <c r="N9" s="235"/>
      <c r="O9" s="164"/>
      <c r="P9" s="234"/>
      <c r="Q9" s="234"/>
      <c r="R9" s="234"/>
      <c r="S9" s="234"/>
      <c r="AC9" s="125">
        <v>20</v>
      </c>
    </row>
    <row customHeight="1" ht="11.549999999999999">
      <c r="D10" s="185"/>
      <c r="E10" s="787" t="s">
        <v>91</v>
      </c>
      <c r="F10" s="787"/>
      <c r="G10" s="232" t="s">
        <v>92</v>
      </c>
      <c r="H10" s="232" t="s">
        <v>93</v>
      </c>
      <c r="I10" s="232" t="s">
        <v>94</v>
      </c>
      <c r="J10" s="195"/>
      <c r="K10" s="195"/>
      <c r="L10" s="195"/>
      <c r="M10" s="195"/>
      <c r="N10" s="180"/>
      <c r="O10" s="195"/>
      <c r="P10" s="233"/>
      <c r="Q10" s="233"/>
      <c r="R10" s="233"/>
      <c r="S10" s="233"/>
      <c r="AC10" s="92">
        <v>11</v>
      </c>
    </row>
    <row s="1827" customFormat="1" customHeight="1" ht="1.05">
      <c r="A11" s="767"/>
      <c r="B11" s="426"/>
      <c r="C11" s="767"/>
      <c r="D11" s="173"/>
      <c r="E11" s="799"/>
      <c r="F11" s="799"/>
      <c r="G11" s="182"/>
      <c r="H11" s="182"/>
      <c r="I11" s="184"/>
      <c r="J11" s="258" t="s">
        <v>95</v>
      </c>
      <c r="K11" s="164"/>
      <c r="L11" s="164"/>
      <c r="M11" s="164" t="s">
        <v>96</v>
      </c>
      <c r="N11" s="235" t="s">
        <v>97</v>
      </c>
      <c r="O11" s="164" t="s">
        <v>98</v>
      </c>
      <c r="P11" s="234"/>
      <c r="Q11" s="234"/>
      <c r="R11" s="234"/>
      <c r="S11" s="234"/>
      <c r="AC11" s="125">
        <v>1</v>
      </c>
    </row>
    <row s="1827" customFormat="1" customHeight="1" ht="15">
      <c r="A12" s="2127">
        <v>1</v>
      </c>
      <c r="B12" s="426"/>
      <c r="C12" s="767"/>
      <c r="D12" s="791"/>
      <c r="E12" s="228">
        <f>A12</f>
        <v>1</v>
      </c>
      <c r="F12" s="811" t="s">
        <v>99</v>
      </c>
      <c r="G12" s="549" t="str">
        <f>"Территория "&amp;E12</f>
        <v>Территория 1</v>
      </c>
      <c r="H12" s="801"/>
      <c r="I12" s="801"/>
      <c r="J12" s="798"/>
      <c r="K12" s="509"/>
      <c r="L12" s="509"/>
      <c r="M12" s="509"/>
      <c r="N12" s="235"/>
      <c r="O12" s="509"/>
      <c r="P12" s="234"/>
      <c r="Q12" s="234"/>
      <c r="R12" s="234"/>
      <c r="S12" s="234"/>
      <c r="AC12" s="516">
        <v>14</v>
      </c>
    </row>
    <row s="1856" customFormat="1" customHeight="1" ht="15.75">
      <c r="A13" s="2127"/>
      <c r="B13" s="426">
        <v>1</v>
      </c>
      <c r="C13" s="426"/>
      <c r="D13" s="809"/>
      <c r="E13" s="789" t="str">
        <f>A12&amp;"."&amp;B13</f>
        <v>1.1</v>
      </c>
      <c r="F13" s="804" t="s">
        <v>91</v>
      </c>
      <c r="G13" s="802" t="s">
        <v>100</v>
      </c>
      <c r="H13" s="802" t="s">
        <v>100</v>
      </c>
      <c r="I13" s="800" t="s">
        <v>101</v>
      </c>
      <c r="J13" s="509">
        <f>MERGEVALUE(G13)</f>
      </c>
      <c r="K13" s="520"/>
      <c r="L13" s="520"/>
      <c r="M13" s="509" t="str">
        <f t="array" ref="M13:M13">IF(ISERROR(MATCH(MID(N13,1,250),MID(note_ter,1,250),0)),"n","y")</f>
        <v>n</v>
      </c>
      <c r="N13" s="520"/>
      <c r="O13" s="509" t="str">
        <f>H13&amp;"("&amp;I13&amp;")"</f>
        <v>Артемовский городской округ(05705000)</v>
      </c>
      <c r="P13" s="426"/>
      <c r="Q13" s="426"/>
      <c r="R13" s="429"/>
      <c r="S13" s="426"/>
      <c r="T13" s="426"/>
      <c r="U13" s="426"/>
      <c r="V13" s="431"/>
      <c r="W13" s="431"/>
      <c r="X13" s="428"/>
      <c r="Y13" s="428"/>
      <c r="Z13" s="428"/>
      <c r="AA13" s="428"/>
      <c r="AB13" s="428"/>
      <c r="AC13" s="432">
        <v>15</v>
      </c>
    </row>
    <row s="1856" customFormat="1" customHeight="1" ht="15.75">
      <c r="A14" s="2127"/>
      <c r="B14" s="426"/>
      <c r="C14" s="421"/>
      <c r="D14" s="810"/>
      <c r="E14" s="430"/>
      <c r="F14" s="186"/>
      <c r="G14" s="424" t="s">
        <v>102</v>
      </c>
      <c r="H14" s="196"/>
      <c r="I14" s="433"/>
      <c r="J14" s="520"/>
      <c r="K14" s="520"/>
      <c r="L14" s="520"/>
      <c r="M14" s="520"/>
      <c r="N14" s="509"/>
      <c r="O14" s="520"/>
      <c r="P14" s="426"/>
      <c r="Q14" s="426"/>
      <c r="R14" s="429"/>
      <c r="S14" s="426"/>
      <c r="T14" s="426"/>
      <c r="U14" s="426"/>
      <c r="V14" s="431"/>
      <c r="W14" s="431"/>
      <c r="X14" s="428"/>
      <c r="Y14" s="428"/>
      <c r="Z14" s="428"/>
      <c r="AA14" s="428"/>
      <c r="AB14" s="428"/>
      <c r="AC14" s="432">
        <v>15</v>
      </c>
    </row>
    <row customHeight="1" ht="15">
      <c r="A15" s="2245" t="s">
        <v>103</v>
      </c>
      <c r="B15" s="1169"/>
      <c r="C15" s="810" t="s">
        <v>104</v>
      </c>
      <c r="D15" s="1826"/>
      <c r="E15" s="1813" t="str">
        <f>A15</f>
        <v>2</v>
      </c>
      <c r="F15" s="813" t="s">
        <v>105</v>
      </c>
      <c r="G15" s="549" t="str">
        <f>"Территория "&amp;E15</f>
        <v>Территория 2</v>
      </c>
      <c r="H15" s="801"/>
      <c r="I15" s="801"/>
      <c r="J15" s="798"/>
      <c r="K15" s="1633"/>
      <c r="L15" s="1633"/>
      <c r="M15" s="1633"/>
      <c r="N15" s="235"/>
      <c r="O15" s="1633"/>
      <c r="P15" s="234"/>
      <c r="Q15" s="234"/>
      <c r="R15" s="234"/>
      <c r="S15" s="234"/>
      <c r="T15" s="1827"/>
      <c r="U15" s="1827"/>
      <c r="V15" s="1827"/>
      <c r="W15" s="1827"/>
      <c r="X15" s="1827"/>
      <c r="Y15" s="1827"/>
      <c r="Z15" s="1827"/>
      <c r="AA15" s="1827"/>
      <c r="AB15" s="1827"/>
      <c r="AC15" s="1827"/>
    </row>
    <row customHeight="1" ht="15">
      <c r="A16" s="2245"/>
      <c r="B16" s="1169">
        <v>1</v>
      </c>
      <c r="C16" s="1169"/>
      <c r="D16" s="809"/>
      <c r="E16" s="1821" t="str">
        <f>A15&amp;"."&amp;B16</f>
        <v>2.1</v>
      </c>
      <c r="F16" s="812" t="s">
        <v>92</v>
      </c>
      <c r="G16" s="802" t="s">
        <v>106</v>
      </c>
      <c r="H16" s="802" t="s">
        <v>106</v>
      </c>
      <c r="I16" s="800" t="s">
        <v>107</v>
      </c>
      <c r="J16" s="1633"/>
      <c r="K16" s="1645"/>
      <c r="L16" s="1645"/>
      <c r="M16" s="1633" t="str">
        <f t="array" ref="M16:M16">IF(ISERROR(MATCH(MID(N16,1,250),MID(note_ter,1,250),0)),"n","y")</f>
        <v>n</v>
      </c>
      <c r="N16" s="1645"/>
      <c r="O16" s="1633" t="str">
        <f>H16&amp;"("&amp;I16&amp;")"</f>
        <v>Владивостокский городской округ(05701000)</v>
      </c>
      <c r="P16" s="1169"/>
      <c r="Q16" s="1169"/>
      <c r="R16" s="429"/>
      <c r="S16" s="1169"/>
      <c r="T16" s="1169"/>
      <c r="U16" s="1169"/>
      <c r="V16" s="431"/>
      <c r="W16" s="431"/>
      <c r="X16" s="428"/>
      <c r="Y16" s="428"/>
      <c r="Z16" s="428"/>
      <c r="AA16" s="428"/>
      <c r="AB16" s="428"/>
      <c r="AC16" s="428"/>
    </row>
    <row customHeight="1" ht="15">
      <c r="A17" s="2245"/>
      <c r="B17" s="1169"/>
      <c r="C17" s="421"/>
      <c r="D17" s="810"/>
      <c r="E17" s="430"/>
      <c r="F17" s="186"/>
      <c r="G17" s="424" t="s">
        <v>102</v>
      </c>
      <c r="H17" s="196"/>
      <c r="I17" s="433"/>
      <c r="J17" s="1645"/>
      <c r="K17" s="1645"/>
      <c r="L17" s="1645"/>
      <c r="M17" s="1645"/>
      <c r="N17" s="1633"/>
      <c r="O17" s="1645"/>
      <c r="P17" s="1169"/>
      <c r="Q17" s="1169"/>
      <c r="R17" s="429"/>
      <c r="S17" s="1169"/>
      <c r="T17" s="1169"/>
      <c r="U17" s="1169"/>
      <c r="V17" s="431"/>
      <c r="W17" s="431"/>
      <c r="X17" s="428"/>
      <c r="Y17" s="428"/>
      <c r="Z17" s="428"/>
      <c r="AA17" s="428"/>
      <c r="AB17" s="428"/>
      <c r="AC17" s="428"/>
    </row>
    <row customHeight="1" ht="15">
      <c r="A18" s="2245" t="s">
        <v>91</v>
      </c>
      <c r="B18" s="1169"/>
      <c r="C18" s="810" t="s">
        <v>104</v>
      </c>
      <c r="D18" s="1826"/>
      <c r="E18" s="1813" t="str">
        <f>A18</f>
        <v>3</v>
      </c>
      <c r="F18" s="813" t="s">
        <v>108</v>
      </c>
      <c r="G18" s="549" t="str">
        <f>"Территория "&amp;E18</f>
        <v>Территория 3</v>
      </c>
      <c r="H18" s="801"/>
      <c r="I18" s="801"/>
      <c r="J18" s="798"/>
      <c r="K18" s="1633"/>
      <c r="L18" s="1633"/>
      <c r="M18" s="1633"/>
      <c r="N18" s="235"/>
      <c r="O18" s="1633"/>
      <c r="P18" s="234"/>
      <c r="Q18" s="234"/>
      <c r="R18" s="234"/>
      <c r="S18" s="234"/>
      <c r="T18" s="1827"/>
      <c r="U18" s="1827"/>
      <c r="V18" s="1827"/>
      <c r="W18" s="1827"/>
      <c r="X18" s="1827"/>
      <c r="Y18" s="1827"/>
      <c r="Z18" s="1827"/>
      <c r="AA18" s="1827"/>
      <c r="AB18" s="1827"/>
      <c r="AC18" s="1827"/>
    </row>
    <row customHeight="1" ht="15">
      <c r="A19" s="2245"/>
      <c r="B19" s="1169">
        <v>1</v>
      </c>
      <c r="C19" s="1169"/>
      <c r="D19" s="809"/>
      <c r="E19" s="1821" t="str">
        <f>A18&amp;"."&amp;B19</f>
        <v>3.1</v>
      </c>
      <c r="F19" s="812" t="s">
        <v>109</v>
      </c>
      <c r="G19" s="802" t="s">
        <v>110</v>
      </c>
      <c r="H19" s="802" t="s">
        <v>110</v>
      </c>
      <c r="I19" s="800" t="s">
        <v>111</v>
      </c>
      <c r="J19" s="1633"/>
      <c r="K19" s="1645"/>
      <c r="L19" s="1645"/>
      <c r="M19" s="1633" t="str">
        <f t="array" ref="M19:M19">IF(ISERROR(MATCH(MID(N19,1,250),MID(note_ter,1,250),0)),"n","y")</f>
        <v>n</v>
      </c>
      <c r="N19" s="1645"/>
      <c r="O19" s="1633" t="str">
        <f>H19&amp;"("&amp;I19&amp;")"</f>
        <v>Партизанский городской округ(05717000)</v>
      </c>
      <c r="P19" s="1169"/>
      <c r="Q19" s="1169"/>
      <c r="R19" s="429"/>
      <c r="S19" s="1169"/>
      <c r="T19" s="1169"/>
      <c r="U19" s="1169"/>
      <c r="V19" s="431"/>
      <c r="W19" s="431"/>
      <c r="X19" s="428"/>
      <c r="Y19" s="428"/>
      <c r="Z19" s="428"/>
      <c r="AA19" s="428"/>
      <c r="AB19" s="428"/>
      <c r="AC19" s="428"/>
    </row>
    <row customHeight="1" ht="15">
      <c r="A20" s="2245"/>
      <c r="B20" s="1169"/>
      <c r="C20" s="421"/>
      <c r="D20" s="810"/>
      <c r="E20" s="430"/>
      <c r="F20" s="186"/>
      <c r="G20" s="424" t="s">
        <v>102</v>
      </c>
      <c r="H20" s="196"/>
      <c r="I20" s="433"/>
      <c r="J20" s="1645"/>
      <c r="K20" s="1645"/>
      <c r="L20" s="1645"/>
      <c r="M20" s="1645"/>
      <c r="N20" s="1633"/>
      <c r="O20" s="1645"/>
      <c r="P20" s="1169"/>
      <c r="Q20" s="1169"/>
      <c r="R20" s="429"/>
      <c r="S20" s="1169"/>
      <c r="T20" s="1169"/>
      <c r="U20" s="1169"/>
      <c r="V20" s="431"/>
      <c r="W20" s="431"/>
      <c r="X20" s="428"/>
      <c r="Y20" s="428"/>
      <c r="Z20" s="428"/>
      <c r="AA20" s="428"/>
      <c r="AB20" s="428"/>
      <c r="AC20" s="428"/>
    </row>
    <row s="1827" customFormat="1" customHeight="1" ht="14.699999999999998">
      <c r="A21" s="767"/>
      <c r="B21" s="426"/>
      <c r="C21" s="767"/>
      <c r="D21" s="791"/>
      <c r="E21" s="803"/>
      <c r="F21" s="187"/>
      <c r="G21" s="425" t="s">
        <v>112</v>
      </c>
      <c r="H21" s="187"/>
      <c r="I21" s="188"/>
      <c r="J21" s="258"/>
      <c r="K21" s="164"/>
      <c r="L21" s="164"/>
      <c r="M21" s="164"/>
      <c r="N21" s="235" t="s">
        <v>113</v>
      </c>
      <c r="O21" s="164"/>
      <c r="P21" s="234"/>
      <c r="Q21" s="234"/>
      <c r="R21" s="234"/>
      <c r="S21" s="234"/>
      <c r="AC21" s="125">
        <v>14</v>
      </c>
    </row>
    <row s="1827" customFormat="1" customHeight="1" ht="22.049999999999997">
      <c r="A22" s="767"/>
      <c r="B22" s="426"/>
      <c r="C22" s="767"/>
      <c r="D22" s="174"/>
      <c r="E22" s="189"/>
      <c r="F22" s="189"/>
      <c r="G22" s="189"/>
      <c r="H22" s="189"/>
      <c r="I22" s="189"/>
      <c r="J22" s="164"/>
      <c r="K22" s="164"/>
      <c r="L22" s="164"/>
      <c r="M22" s="164"/>
      <c r="N22" s="235"/>
      <c r="O22" s="164"/>
      <c r="P22" s="234"/>
      <c r="Q22" s="234"/>
      <c r="R22" s="234"/>
      <c r="S22" s="234"/>
      <c r="AC22" s="125">
        <v>21</v>
      </c>
    </row>
    <row s="1827" customFormat="1" customHeight="1" ht="14.699999999999998">
      <c r="A23" s="767"/>
      <c r="B23" s="426"/>
      <c r="C23" s="767"/>
      <c r="D23" s="174"/>
      <c r="E23" s="92"/>
      <c r="F23" s="767"/>
      <c r="G23" s="92"/>
      <c r="H23" s="92"/>
      <c r="I23" s="92"/>
      <c r="J23" s="164"/>
      <c r="K23" s="164"/>
      <c r="L23" s="164"/>
      <c r="M23" s="164"/>
      <c r="N23" s="235"/>
      <c r="O23" s="164"/>
      <c r="P23" s="234"/>
      <c r="Q23" s="234"/>
      <c r="R23" s="234"/>
      <c r="S23" s="234"/>
      <c r="AC23" s="125">
        <v>14</v>
      </c>
    </row>
    <row s="1827" customFormat="1" customHeight="1" ht="1.05">
      <c r="A24" s="767"/>
      <c r="B24" s="426"/>
      <c r="C24" s="767"/>
      <c r="D24" s="174"/>
      <c r="E24" s="92"/>
      <c r="F24" s="767"/>
      <c r="G24" s="92"/>
      <c r="H24" s="92"/>
      <c r="I24" s="92"/>
      <c r="J24" s="164"/>
      <c r="K24" s="164"/>
      <c r="L24" s="164"/>
      <c r="M24" s="164"/>
      <c r="N24" s="235"/>
      <c r="O24" s="164"/>
      <c r="P24" s="234"/>
      <c r="Q24" s="234"/>
      <c r="R24" s="234"/>
      <c r="S24" s="234"/>
      <c r="AC24" s="125">
        <v>1</v>
      </c>
    </row>
    <row s="1073" customFormat="1" customHeight="1" ht="10.5">
      <c r="B25" s="843"/>
      <c r="D25" s="191"/>
      <c r="J25" s="164"/>
      <c r="K25" s="164"/>
      <c r="L25" s="164"/>
      <c r="M25" s="164"/>
      <c r="N25" s="235"/>
      <c r="O25" s="164"/>
      <c r="P25" s="234"/>
      <c r="Q25" s="234"/>
      <c r="R25" s="234"/>
      <c r="S25" s="234"/>
      <c r="AC25" s="190">
        <v>10</v>
      </c>
    </row>
    <row s="1073" customFormat="1" customHeight="1" ht="10.5">
      <c r="B26" s="843"/>
      <c r="D26" s="191"/>
      <c r="J26" s="164"/>
      <c r="K26" s="164"/>
      <c r="L26" s="164"/>
      <c r="M26" s="164"/>
      <c r="N26" s="235"/>
      <c r="O26" s="164"/>
      <c r="P26" s="234"/>
      <c r="Q26" s="234"/>
      <c r="R26" s="234"/>
      <c r="S26" s="234"/>
      <c r="AC26" s="190">
        <v>10</v>
      </c>
    </row>
    <row customHeight="1" ht="14.699999999999998">
      <c r="AC27" s="92">
        <v>14</v>
      </c>
    </row>
    <row customHeight="1" ht="14.699999999999998">
      <c r="AC28" s="92">
        <v>14</v>
      </c>
    </row>
    <row customHeight="1" ht="14.699999999999998">
      <c r="AC29" s="92">
        <v>14</v>
      </c>
    </row>
    <row customHeight="1" ht="14.699999999999998">
      <c r="H30" s="73"/>
      <c r="AC30" s="92">
        <v>14</v>
      </c>
    </row>
    <row customHeight="1" ht="14.699999999999998">
      <c r="AC31" s="92">
        <v>14</v>
      </c>
    </row>
    <row customHeight="1" ht="14.699999999999998">
      <c r="AC32" s="92">
        <v>14</v>
      </c>
    </row>
    <row customHeight="1" ht="14.699999999999998">
      <c r="AC33" s="92">
        <v>14</v>
      </c>
    </row>
    <row customHeight="1" ht="14.699999999999998">
      <c r="J34" s="92"/>
      <c r="K34" s="92"/>
      <c r="L34" s="92"/>
      <c r="AC34" s="92">
        <v>14</v>
      </c>
    </row>
    <row customHeight="1" ht="22.5" hidden="1">
      <c r="A35" s="767" t="s">
        <v>83</v>
      </c>
      <c r="B35" s="426">
        <v>0</v>
      </c>
      <c r="C35" s="767">
        <v>3</v>
      </c>
      <c r="D35" s="174">
        <v>3</v>
      </c>
      <c r="E35" s="92">
        <v>6</v>
      </c>
      <c r="F35" s="767">
        <v>0</v>
      </c>
      <c r="G35" s="92">
        <v>46</v>
      </c>
      <c r="H35" s="92">
        <v>42</v>
      </c>
      <c r="I35" s="92">
        <v>14</v>
      </c>
      <c r="J35" s="164">
        <v>3</v>
      </c>
      <c r="K35" s="164">
        <v>0</v>
      </c>
      <c r="L35" s="164">
        <v>0</v>
      </c>
      <c r="M35" s="164">
        <v>0</v>
      </c>
      <c r="N35" s="235">
        <v>0</v>
      </c>
      <c r="O35" s="164">
        <v>0</v>
      </c>
      <c r="P35" s="234">
        <v>0</v>
      </c>
      <c r="Q35" s="234">
        <v>0</v>
      </c>
      <c r="R35" s="234">
        <v>0</v>
      </c>
      <c r="S35" s="234">
        <v>0</v>
      </c>
      <c r="T35" s="92">
        <v>0</v>
      </c>
      <c r="U35" s="92">
        <v>0</v>
      </c>
      <c r="V35" s="92">
        <v>0</v>
      </c>
      <c r="W35" s="92">
        <v>0</v>
      </c>
      <c r="X35" s="92">
        <v>0</v>
      </c>
      <c r="Y35" s="92">
        <v>0</v>
      </c>
      <c r="Z35" s="92">
        <v>0</v>
      </c>
      <c r="AA35" s="92">
        <v>0</v>
      </c>
      <c r="AB35" s="92">
        <v>8</v>
      </c>
      <c r="AC35" s="92">
        <v>23</v>
      </c>
    </row>
  </sheetData>
  <sheetProtection sheet="1" formatColumns="0" formatRows="0" autoFilter="0" sort="1" insertRows="1" insertColumns="1" deleteRows="1" deleteColumns="1"/>
  <mergeCells count="6">
    <mergeCell ref="A12:A14"/>
    <mergeCell ref="E4:I4"/>
    <mergeCell ref="E8:G8"/>
    <mergeCell ref="H8:I8"/>
    <mergeCell ref="A15:A17"/>
    <mergeCell ref="A18:A20"/>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E2F97-10BF-54D4-E67E-0.64D3B53A}"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8" style="1644" width="19.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19.7109375" customWidth="1"/>
    <col min="34" max="39" style="1644" width="19.00390625" customWidth="1"/>
    <col min="40" max="40" style="1644" width="11.00390625" customWidth="1"/>
    <col min="41" max="41" style="1644" width="3.7109375" customWidth="1"/>
    <col min="42" max="42" style="1644" width="11.00390625" customWidth="1"/>
    <col min="43" max="43" style="1644" width="8.57421875" hidden="1" customWidth="1"/>
    <col min="44" max="44" style="1644" width="4.00390625" customWidth="1"/>
    <col min="45" max="45" style="1644" width="115.00390625" customWidth="1"/>
    <col min="46" max="50" style="1651" width="10.00390625" customWidth="1"/>
    <col min="51" max="51" style="1644" width="10.57421875" hidden="1"/>
  </cols>
  <sheetData>
    <row customHeight="1" ht="22.5" hidden="1">
      <c r="AC1" s="336"/>
      <c r="AN1" s="336"/>
      <c r="AY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502">
        <f>INDEX(PT_DIFFERENTIATION_NUM_NTAR,MATCH(A2,PT_DIFFERENTIATION_NTAR_ID,0))</f>
      </c>
      <c r="T2" s="307" t="s">
        <v>140</v>
      </c>
      <c r="U2" s="309"/>
      <c r="V2" s="2270"/>
      <c r="W2" s="2271"/>
      <c r="X2" s="2271"/>
      <c r="Y2" s="2271"/>
      <c r="Z2" s="2271"/>
      <c r="AA2" s="2271"/>
      <c r="AB2" s="2271"/>
      <c r="AC2" s="2271"/>
      <c r="AD2" s="2271"/>
      <c r="AE2" s="2271"/>
      <c r="AF2" s="2272"/>
      <c r="AG2" s="2270">
        <f>INDEX(PT_DIFFERENTIATION_NTAR,MATCH(A2,PT_DIFFERENTIATION_NTAR_ID,0))</f>
      </c>
      <c r="AH2" s="2271"/>
      <c r="AI2" s="2271"/>
      <c r="AJ2" s="2271"/>
      <c r="AK2" s="2271"/>
      <c r="AL2" s="2271"/>
      <c r="AM2" s="2271"/>
      <c r="AN2" s="2271"/>
      <c r="AO2" s="2271"/>
      <c r="AP2" s="2271"/>
      <c r="AQ2" s="2271"/>
      <c r="AR2" s="2272"/>
      <c r="AS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9"/>
      <c r="AV2" s="509" t="str">
        <f>IF(T2="","",T2)</f>
        <v>Наименование тарифа</v>
      </c>
      <c r="AW2" s="509"/>
      <c r="AX2" s="509"/>
      <c r="AY2" s="1164">
        <v>0</v>
      </c>
    </row>
    <row customHeight="1" ht="23.25" hidden="1">
      <c r="A3" s="1372"/>
      <c r="B3" s="1372"/>
      <c r="C3" s="1372"/>
      <c r="D3" s="1372"/>
      <c r="E3" s="2287"/>
      <c r="F3" s="2286">
        <v>1</v>
      </c>
      <c r="G3" s="1372"/>
      <c r="H3" s="1372"/>
      <c r="I3" s="1372"/>
      <c r="J3" s="1372"/>
      <c r="K3" s="1372"/>
      <c r="L3" s="1373"/>
      <c r="M3" s="1374"/>
      <c r="N3" s="1374"/>
      <c r="O3" s="1374"/>
      <c r="P3" s="1496"/>
      <c r="Q3" s="361"/>
      <c r="R3" s="362"/>
      <c r="S3" s="1502">
        <f>INDEX(PT_DIFFERENTIATION_NUM_TER,MATCH(B3,PT_DIFFERENTIATION_TER_ID,0))</f>
      </c>
      <c r="T3" s="317" t="s">
        <v>412</v>
      </c>
      <c r="U3" s="309"/>
      <c r="V3" s="2270"/>
      <c r="W3" s="2271"/>
      <c r="X3" s="2271"/>
      <c r="Y3" s="2271"/>
      <c r="Z3" s="2271"/>
      <c r="AA3" s="2271"/>
      <c r="AB3" s="2271"/>
      <c r="AC3" s="2271"/>
      <c r="AD3" s="2271"/>
      <c r="AE3" s="2271"/>
      <c r="AF3" s="2272"/>
      <c r="AG3" s="2270">
        <f>INDEX(PT_DIFFERENTIATION_TER,MATCH(B3,PT_DIFFERENTIATION_TER_ID,0))</f>
      </c>
      <c r="AH3" s="2271"/>
      <c r="AI3" s="2271"/>
      <c r="AJ3" s="2271"/>
      <c r="AK3" s="2271"/>
      <c r="AL3" s="2271"/>
      <c r="AM3" s="2271"/>
      <c r="AN3" s="2271"/>
      <c r="AO3" s="2271"/>
      <c r="AP3" s="2271"/>
      <c r="AQ3" s="2271"/>
      <c r="AR3" s="2272"/>
      <c r="AS3" s="1267" t="s">
        <v>413</v>
      </c>
      <c r="AU3" s="509"/>
      <c r="AV3" s="509" t="str">
        <f>IF(T3="","",T3)</f>
        <v>Территория действия тарифа</v>
      </c>
      <c r="AW3" s="509"/>
      <c r="AX3" s="509"/>
      <c r="AY3" s="1164">
        <v>0</v>
      </c>
    </row>
    <row customHeight="1" ht="23.25" hidden="1">
      <c r="A4" s="1372"/>
      <c r="B4" s="1372"/>
      <c r="C4" s="1372"/>
      <c r="D4" s="1372"/>
      <c r="E4" s="2287"/>
      <c r="F4" s="2287"/>
      <c r="G4" s="2286">
        <v>1</v>
      </c>
      <c r="H4" s="1372"/>
      <c r="I4" s="1372"/>
      <c r="J4" s="1372"/>
      <c r="K4" s="1372"/>
      <c r="L4" s="1373"/>
      <c r="M4" s="1374"/>
      <c r="N4" s="1374"/>
      <c r="O4" s="1374"/>
      <c r="P4" s="363"/>
      <c r="Q4" s="361"/>
      <c r="R4" s="362"/>
      <c r="S4" s="1502">
        <f>INDEX(PT_DIFFERENTIATION_NUM_CS,MATCH(C4,PT_DIFFERENTIATION_CS_ID,0))</f>
      </c>
      <c r="T4" s="318" t="s">
        <v>543</v>
      </c>
      <c r="U4" s="309"/>
      <c r="V4" s="2270"/>
      <c r="W4" s="2271"/>
      <c r="X4" s="2271"/>
      <c r="Y4" s="2271"/>
      <c r="Z4" s="2271"/>
      <c r="AA4" s="2271"/>
      <c r="AB4" s="2271"/>
      <c r="AC4" s="2271"/>
      <c r="AD4" s="2271"/>
      <c r="AE4" s="2271"/>
      <c r="AF4" s="2272"/>
      <c r="AG4" s="2270">
        <f>INDEX(PT_DIFFERENTIATION_CS,MATCH(C4,PT_DIFFERENTIATION_CS_ID,0))</f>
      </c>
      <c r="AH4" s="2271"/>
      <c r="AI4" s="2271"/>
      <c r="AJ4" s="2271"/>
      <c r="AK4" s="2271"/>
      <c r="AL4" s="2271"/>
      <c r="AM4" s="2271"/>
      <c r="AN4" s="2271"/>
      <c r="AO4" s="2271"/>
      <c r="AP4" s="2271"/>
      <c r="AQ4" s="2271"/>
      <c r="AR4" s="2272"/>
      <c r="AS4" s="1267" t="s">
        <v>544</v>
      </c>
      <c r="AU4" s="509"/>
      <c r="AV4" s="509" t="str">
        <f>IF(T4="","",T4)</f>
        <v>Наименование централизованной системы горячего водоснабжения</v>
      </c>
      <c r="AW4" s="509"/>
      <c r="AX4" s="509"/>
      <c r="AY4" s="1164">
        <v>0</v>
      </c>
    </row>
    <row customHeight="1" ht="23.25" hidden="1">
      <c r="A5" s="1372"/>
      <c r="B5" s="1372"/>
      <c r="C5" s="1372"/>
      <c r="D5" s="1372"/>
      <c r="E5" s="2287"/>
      <c r="F5" s="2287"/>
      <c r="G5" s="2287"/>
      <c r="H5" s="2287"/>
      <c r="I5" s="2284">
        <f>S4&amp;".1"</f>
      </c>
      <c r="J5" s="1372"/>
      <c r="K5" s="1372"/>
      <c r="L5" s="1373"/>
      <c r="P5" s="2285">
        <v>1</v>
      </c>
      <c r="Q5" s="1490"/>
      <c r="R5" s="365"/>
      <c r="S5" s="1502">
        <f>$I5</f>
      </c>
      <c r="T5" s="294" t="s">
        <v>496</v>
      </c>
      <c r="U5" s="309"/>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267" t="s">
        <v>497</v>
      </c>
      <c r="AU5" s="509"/>
      <c r="AV5" s="509" t="str">
        <f>IF(T5="","",T5)</f>
        <v>Наименование признака дифференциации</v>
      </c>
      <c r="AW5" s="509"/>
      <c r="AX5" s="509"/>
      <c r="AY5" s="1164">
        <v>0</v>
      </c>
    </row>
    <row customHeight="1" ht="23.25" hidden="1">
      <c r="A6" s="1372"/>
      <c r="B6" s="1372"/>
      <c r="C6" s="1372"/>
      <c r="D6" s="1372"/>
      <c r="E6" s="2287"/>
      <c r="F6" s="2287"/>
      <c r="G6" s="2287"/>
      <c r="H6" s="2287"/>
      <c r="I6" s="2314"/>
      <c r="J6" s="2284">
        <f>I5&amp;".1"</f>
      </c>
      <c r="K6" s="1372"/>
      <c r="L6" s="1373" t="s">
        <v>421</v>
      </c>
      <c r="P6" s="2285"/>
      <c r="Q6" s="2285">
        <v>1</v>
      </c>
      <c r="R6" s="366"/>
      <c r="S6" s="1502">
        <f>$J6</f>
      </c>
      <c r="T6" s="295" t="s">
        <v>422</v>
      </c>
      <c r="U6" s="309"/>
      <c r="V6" s="2273"/>
      <c r="W6" s="2274"/>
      <c r="X6" s="2274"/>
      <c r="Y6" s="2274"/>
      <c r="Z6" s="2274"/>
      <c r="AA6" s="2274"/>
      <c r="AB6" s="2274"/>
      <c r="AC6" s="2274"/>
      <c r="AD6" s="2274"/>
      <c r="AE6" s="2274"/>
      <c r="AF6" s="2275"/>
      <c r="AG6" s="2273"/>
      <c r="AH6" s="2274"/>
      <c r="AI6" s="2274"/>
      <c r="AJ6" s="2274"/>
      <c r="AK6" s="2274"/>
      <c r="AL6" s="2274"/>
      <c r="AM6" s="2274"/>
      <c r="AN6" s="2274"/>
      <c r="AO6" s="2274"/>
      <c r="AP6" s="2274"/>
      <c r="AQ6" s="2274"/>
      <c r="AR6" s="2275"/>
      <c r="AS6" s="1316" t="s">
        <v>498</v>
      </c>
      <c r="AU6" s="509"/>
      <c r="AV6" s="509" t="str">
        <f>IF(T6="","",T6)</f>
        <v>Группа потребителей</v>
      </c>
      <c r="AW6" s="509"/>
      <c r="AX6" s="509"/>
      <c r="AY6" s="1164">
        <v>0</v>
      </c>
    </row>
    <row customHeight="1" ht="23.25" hidden="1">
      <c r="A7" s="1372"/>
      <c r="B7" s="1372"/>
      <c r="C7" s="1372"/>
      <c r="D7" s="1372"/>
      <c r="E7" s="2287"/>
      <c r="F7" s="2287"/>
      <c r="G7" s="2287"/>
      <c r="H7" s="2287"/>
      <c r="I7" s="2314"/>
      <c r="J7" s="2314"/>
      <c r="K7" s="2284">
        <f>J6&amp;".1"</f>
      </c>
      <c r="L7" s="1373"/>
      <c r="P7" s="2285"/>
      <c r="Q7" s="2285"/>
      <c r="R7" s="366">
        <v>1</v>
      </c>
      <c r="S7" s="1502">
        <f>$K7</f>
      </c>
      <c r="T7" s="1446"/>
      <c r="U7" s="309"/>
      <c r="V7" s="760"/>
      <c r="W7" s="760"/>
      <c r="X7" s="760"/>
      <c r="Y7" s="760"/>
      <c r="Z7" s="760"/>
      <c r="AA7" s="760"/>
      <c r="AB7" s="760"/>
      <c r="AC7" s="2293"/>
      <c r="AD7" s="2135" t="s">
        <v>63</v>
      </c>
      <c r="AE7" s="2293"/>
      <c r="AF7" s="2135" t="s">
        <v>63</v>
      </c>
      <c r="AG7" s="760"/>
      <c r="AH7" s="760"/>
      <c r="AI7" s="760"/>
      <c r="AJ7" s="760"/>
      <c r="AK7" s="760"/>
      <c r="AL7" s="760"/>
      <c r="AM7" s="760"/>
      <c r="AN7" s="2293"/>
      <c r="AO7" s="2135" t="s">
        <v>63</v>
      </c>
      <c r="AP7" s="2315"/>
      <c r="AQ7" s="2135" t="s">
        <v>63</v>
      </c>
      <c r="AR7" s="1447"/>
      <c r="AS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0">
        <f>STRCHECKDATE(V8:AR8)</f>
      </c>
      <c r="AU7" s="509"/>
      <c r="AV7" s="509" t="str">
        <f>IF(T7="","",T7)</f>
        <v/>
      </c>
      <c r="AW7" s="509"/>
      <c r="AX7" s="509"/>
      <c r="AY7" s="1164">
        <v>0</v>
      </c>
    </row>
    <row customHeight="1" ht="14.25" hidden="1">
      <c r="A8" s="1372"/>
      <c r="B8" s="1372"/>
      <c r="C8" s="1372"/>
      <c r="D8" s="1372"/>
      <c r="E8" s="2287"/>
      <c r="F8" s="2287"/>
      <c r="G8" s="2287"/>
      <c r="H8" s="2287"/>
      <c r="I8" s="2314"/>
      <c r="J8" s="2314"/>
      <c r="K8" s="2284"/>
      <c r="L8" s="1373"/>
      <c r="P8" s="2285"/>
      <c r="Q8" s="2285"/>
      <c r="R8" s="366"/>
      <c r="S8" s="1499"/>
      <c r="T8" s="309"/>
      <c r="U8" s="309"/>
      <c r="V8" s="334"/>
      <c r="W8" s="334"/>
      <c r="X8" s="334"/>
      <c r="Y8" s="334"/>
      <c r="Z8" s="334"/>
      <c r="AA8" s="334"/>
      <c r="AB8" s="334"/>
      <c r="AC8" s="2294"/>
      <c r="AD8" s="2135"/>
      <c r="AE8" s="2294"/>
      <c r="AF8" s="2135"/>
      <c r="AG8" s="334"/>
      <c r="AH8" s="334"/>
      <c r="AI8" s="334"/>
      <c r="AJ8" s="334"/>
      <c r="AK8" s="334"/>
      <c r="AL8" s="334"/>
      <c r="AM8" s="334"/>
      <c r="AN8" s="2294"/>
      <c r="AO8" s="2135"/>
      <c r="AP8" s="2316"/>
      <c r="AQ8" s="2135"/>
      <c r="AR8" s="1448"/>
      <c r="AS8" s="2377"/>
      <c r="AU8" s="509"/>
      <c r="AV8" s="509" t="str">
        <f>IF(T8="","",T8)</f>
        <v/>
      </c>
      <c r="AW8" s="509"/>
      <c r="AX8" s="509"/>
      <c r="AY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609"/>
      <c r="X9" s="609"/>
      <c r="Y9" s="609"/>
      <c r="Z9" s="609"/>
      <c r="AA9" s="609"/>
      <c r="AB9" s="609"/>
      <c r="AC9" s="376"/>
      <c r="AD9" s="376"/>
      <c r="AE9" s="376"/>
      <c r="AF9" s="376"/>
      <c r="AG9" s="376"/>
      <c r="AH9" s="609"/>
      <c r="AI9" s="609"/>
      <c r="AJ9" s="609"/>
      <c r="AK9" s="609"/>
      <c r="AL9" s="609"/>
      <c r="AM9" s="376"/>
      <c r="AN9" s="376"/>
      <c r="AO9" s="376"/>
      <c r="AP9" s="376"/>
      <c r="AQ9" s="376"/>
      <c r="AR9" s="376"/>
      <c r="AS9" s="1267" t="s">
        <v>500</v>
      </c>
      <c r="AU9" s="509"/>
      <c r="AV9" s="509" t="str">
        <f>IF(T9="","",T9)</f>
        <v>Добавить значение признака дифференциации</v>
      </c>
      <c r="AW9" s="509"/>
      <c r="AX9" s="509"/>
      <c r="AY9" s="1164">
        <v>0</v>
      </c>
    </row>
    <row customHeight="1" ht="21" hidden="1">
      <c r="A10" s="1372"/>
      <c r="B10" s="1372"/>
      <c r="C10" s="1372"/>
      <c r="D10" s="1372"/>
      <c r="E10" s="2287"/>
      <c r="F10" s="2287"/>
      <c r="G10" s="2287"/>
      <c r="H10" s="2287"/>
      <c r="I10" s="2284"/>
      <c r="J10" s="1372"/>
      <c r="K10" s="1372"/>
      <c r="L10" s="1373"/>
      <c r="P10" s="2285"/>
      <c r="Q10" s="1490"/>
      <c r="R10" s="365"/>
      <c r="S10" s="1287"/>
      <c r="T10" s="374" t="s">
        <v>427</v>
      </c>
      <c r="U10" s="376"/>
      <c r="V10" s="376"/>
      <c r="W10" s="609"/>
      <c r="X10" s="609"/>
      <c r="Y10" s="609"/>
      <c r="Z10" s="609"/>
      <c r="AA10" s="609"/>
      <c r="AB10" s="609"/>
      <c r="AC10" s="376"/>
      <c r="AD10" s="376"/>
      <c r="AE10" s="376"/>
      <c r="AF10" s="375"/>
      <c r="AG10" s="376"/>
      <c r="AH10" s="609"/>
      <c r="AI10" s="609"/>
      <c r="AJ10" s="609"/>
      <c r="AK10" s="609"/>
      <c r="AL10" s="609"/>
      <c r="AM10" s="376"/>
      <c r="AN10" s="376"/>
      <c r="AO10" s="376"/>
      <c r="AP10" s="376"/>
      <c r="AQ10" s="375"/>
      <c r="AR10" s="376"/>
      <c r="AS10" s="1449"/>
      <c r="AU10" s="509"/>
      <c r="AV10" s="509" t="str">
        <f>IF(T10="","",T10)</f>
        <v>Добавить группу потребителей</v>
      </c>
      <c r="AW10" s="509"/>
      <c r="AX10" s="509"/>
      <c r="AY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609"/>
      <c r="X11" s="609"/>
      <c r="Y11" s="609"/>
      <c r="Z11" s="609"/>
      <c r="AA11" s="609"/>
      <c r="AB11" s="609"/>
      <c r="AC11" s="376"/>
      <c r="AD11" s="376"/>
      <c r="AE11" s="376"/>
      <c r="AF11" s="375"/>
      <c r="AG11" s="376"/>
      <c r="AH11" s="609"/>
      <c r="AI11" s="609"/>
      <c r="AJ11" s="609"/>
      <c r="AK11" s="609"/>
      <c r="AL11" s="609"/>
      <c r="AM11" s="376"/>
      <c r="AN11" s="376"/>
      <c r="AO11" s="376"/>
      <c r="AP11" s="376"/>
      <c r="AQ11" s="375"/>
      <c r="AR11" s="376"/>
      <c r="AS11" s="312"/>
      <c r="AU11" s="509"/>
      <c r="AV11" s="509" t="str">
        <f>IF(T11="","",T11)</f>
        <v>Добавить наименование признака дифференциации</v>
      </c>
      <c r="AW11" s="509"/>
      <c r="AX11" s="509"/>
      <c r="AY11" s="1164">
        <v>0</v>
      </c>
    </row>
    <row s="1651" customFormat="1" customHeight="1" ht="14.25" hidden="1">
      <c r="A12" s="1352"/>
      <c r="B12" s="1352"/>
      <c r="C12" s="1323"/>
      <c r="D12" s="1323"/>
      <c r="E12" s="2287"/>
      <c r="F12" s="2286"/>
      <c r="G12" s="1323"/>
      <c r="H12" s="1323"/>
      <c r="I12" s="1323"/>
      <c r="J12" s="1323"/>
      <c r="K12" s="1323"/>
      <c r="L12" s="1503"/>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U12" s="798"/>
      <c r="AV12" s="798" t="str">
        <f>IF(T12="","",T12)</f>
        <v>Добавить централизованную систему для дифференциации</v>
      </c>
      <c r="AW12" s="798"/>
      <c r="AX12" s="798"/>
      <c r="AY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U13" s="509"/>
      <c r="AV13" s="509" t="str">
        <f>IF(T13="","",T13)</f>
        <v>Добавить территорию для дифференциации</v>
      </c>
      <c r="AW13" s="509"/>
      <c r="AX13" s="509"/>
      <c r="AY13" s="520">
        <v>0</v>
      </c>
    </row>
    <row customHeight="1" ht="14.25" hidden="1">
      <c r="AF14" s="336"/>
      <c r="AQ14" s="336"/>
      <c r="AY14" s="1164">
        <v>0</v>
      </c>
    </row>
    <row customHeight="1" ht="14.25" hidden="1">
      <c r="AG15" s="1369"/>
      <c r="AH15" s="1369"/>
      <c r="AI15" s="1369"/>
      <c r="AJ15" s="1369"/>
      <c r="AK15" s="1369"/>
      <c r="AL15" s="1369"/>
      <c r="AM15" s="1369"/>
      <c r="AN15" s="2295"/>
      <c r="AO15" s="2296" t="s">
        <v>63</v>
      </c>
      <c r="AP15" s="2295"/>
      <c r="AQ15" s="2296" t="s">
        <v>63</v>
      </c>
      <c r="AY15" s="1164">
        <v>0</v>
      </c>
    </row>
    <row customHeight="1" ht="14.25" hidden="1">
      <c r="AG16" s="1369"/>
      <c r="AH16" s="1369"/>
      <c r="AI16" s="1369"/>
      <c r="AJ16" s="1369"/>
      <c r="AK16" s="1369"/>
      <c r="AL16" s="1369"/>
      <c r="AM16" s="1369"/>
      <c r="AN16" s="2296"/>
      <c r="AO16" s="2296"/>
      <c r="AP16" s="2296"/>
      <c r="AQ16" s="2296"/>
      <c r="AY16" s="1164">
        <v>0</v>
      </c>
    </row>
    <row customHeight="1" ht="14.25" hidden="1">
      <c r="AQ17" s="336"/>
      <c r="AY17" s="1164">
        <v>0</v>
      </c>
    </row>
    <row s="1375" customFormat="1" customHeight="1" ht="22.5" hidden="1">
      <c r="L18" s="1487"/>
      <c r="M18" s="1371"/>
      <c r="N18" s="1371"/>
      <c r="O18" s="1376" t="s">
        <v>432</v>
      </c>
      <c r="P18" s="1371"/>
      <c r="Q18" s="1380"/>
      <c r="R18" s="1380"/>
      <c r="S18" s="738"/>
      <c r="W18" s="1375"/>
      <c r="X18" s="1375"/>
      <c r="Y18" s="1375"/>
      <c r="Z18" s="1375"/>
      <c r="AA18" s="1375"/>
      <c r="AB18" s="1375"/>
      <c r="AC18" s="1376"/>
      <c r="AE18" s="1376"/>
      <c r="AF18" s="1375"/>
      <c r="AH18" s="1375"/>
      <c r="AI18" s="1375"/>
      <c r="AJ18" s="1375"/>
      <c r="AK18" s="1375"/>
      <c r="AL18" s="1375"/>
      <c r="AN18" s="1376"/>
      <c r="AP18" s="1376"/>
      <c r="AQ18" s="1375"/>
      <c r="AT18" s="520"/>
      <c r="AU18" s="520"/>
      <c r="AV18" s="520"/>
      <c r="AW18" s="520"/>
      <c r="AX18" s="520"/>
      <c r="AY18" s="1169">
        <v>0</v>
      </c>
    </row>
    <row s="1375" customFormat="1" customHeight="1" ht="14.25" hidden="1">
      <c r="L19" s="1487"/>
      <c r="M19" s="1371"/>
      <c r="N19" s="1371"/>
      <c r="O19" s="1371"/>
      <c r="P19" s="1371"/>
      <c r="Q19" s="1380"/>
      <c r="R19" s="1380"/>
      <c r="S19" s="738"/>
      <c r="W19" s="1375"/>
      <c r="X19" s="1375"/>
      <c r="Y19" s="1375"/>
      <c r="Z19" s="1375"/>
      <c r="AA19" s="1375"/>
      <c r="AB19" s="1375"/>
      <c r="AF19" s="1375"/>
      <c r="AH19" s="1375"/>
      <c r="AI19" s="1375"/>
      <c r="AJ19" s="1375"/>
      <c r="AK19" s="1375"/>
      <c r="AL19" s="1375"/>
      <c r="AQ19" s="1375"/>
      <c r="AT19" s="520"/>
      <c r="AU19" s="520"/>
      <c r="AV19" s="520"/>
      <c r="AW19" s="520"/>
      <c r="AX19" s="520"/>
      <c r="AY19" s="1169">
        <v>0</v>
      </c>
    </row>
    <row s="1375" customFormat="1" customHeight="1" ht="12" hidden="1">
      <c r="L20" s="1487"/>
      <c r="M20" s="1371"/>
      <c r="N20" s="1371"/>
      <c r="O20" s="1373" t="s">
        <v>433</v>
      </c>
      <c r="P20" s="1371"/>
      <c r="Q20" s="1451"/>
      <c r="R20" s="1451"/>
      <c r="S20" s="738"/>
      <c r="T20" s="1169" t="s">
        <v>434</v>
      </c>
      <c r="W20" s="1375"/>
      <c r="X20" s="1375"/>
      <c r="Y20" s="1375"/>
      <c r="Z20" s="1375"/>
      <c r="AA20" s="1375"/>
      <c r="AB20" s="1375"/>
      <c r="AD20" s="195" t="s">
        <v>435</v>
      </c>
      <c r="AF20" s="195" t="s">
        <v>436</v>
      </c>
      <c r="AG20" s="1169" t="s">
        <v>434</v>
      </c>
      <c r="AH20" s="1375"/>
      <c r="AI20" s="1375"/>
      <c r="AJ20" s="1375"/>
      <c r="AK20" s="1375"/>
      <c r="AL20" s="1375"/>
      <c r="AO20" s="195" t="s">
        <v>437</v>
      </c>
      <c r="AQ20" s="195" t="s">
        <v>436</v>
      </c>
      <c r="AY20" s="1169">
        <v>0</v>
      </c>
    </row>
    <row customHeight="1" ht="14.25" hidden="1">
      <c r="O21" s="1373"/>
      <c r="AY21" s="1164">
        <v>0</v>
      </c>
    </row>
    <row customHeight="1" ht="14.25" hidden="1">
      <c r="O22" s="1373"/>
      <c r="AY22" s="1164">
        <v>0</v>
      </c>
    </row>
    <row customHeight="1" ht="14.699999999999998">
      <c r="Q23" s="385"/>
      <c r="R23" s="385"/>
      <c r="S23" s="1284"/>
      <c r="T23" s="372"/>
      <c r="U23" s="372"/>
      <c r="V23" s="518"/>
      <c r="W23" s="1644"/>
      <c r="X23" s="1644"/>
      <c r="Y23" s="1644"/>
      <c r="Z23" s="1644"/>
      <c r="AA23" s="1644"/>
      <c r="AB23" s="1644"/>
      <c r="AC23" s="518"/>
      <c r="AD23" s="518"/>
      <c r="AE23" s="518"/>
      <c r="AF23" s="518"/>
      <c r="AG23" s="518"/>
      <c r="AH23" s="1644"/>
      <c r="AI23" s="1644"/>
      <c r="AJ23" s="1644"/>
      <c r="AK23" s="1644"/>
      <c r="AL23" s="1644"/>
      <c r="AM23" s="518"/>
      <c r="AN23" s="518"/>
      <c r="AO23" s="518"/>
      <c r="AP23" s="518"/>
      <c r="AQ23" s="518"/>
      <c r="AY23" s="1164">
        <v>14</v>
      </c>
    </row>
    <row customHeight="1" ht="26.25">
      <c r="Q24" s="385"/>
      <c r="R24" s="385"/>
      <c r="S24" s="22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1252"/>
      <c r="AY24" s="1164">
        <v>25</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252"/>
      <c r="AY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518"/>
      <c r="AY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2279"/>
      <c r="AC27" s="2279"/>
      <c r="AD27" s="2279"/>
      <c r="AE27" s="2279"/>
      <c r="AF27" s="335"/>
      <c r="AG27" s="2279" t="str">
        <f>IF(TITLE_NAME_OR_PR_CHANGE="",IF(TITLE_NAME_OR_PR="","",TITLE_NAME_OR_PR),TITLE_NAME_OR_PR_CHANGE)</f>
        <v/>
      </c>
      <c r="AH27" s="2279"/>
      <c r="AI27" s="2279"/>
      <c r="AJ27" s="2279"/>
      <c r="AK27" s="2279"/>
      <c r="AL27" s="2279"/>
      <c r="AM27" s="2279"/>
      <c r="AN27" s="2279"/>
      <c r="AO27" s="2279"/>
      <c r="AP27" s="2279"/>
      <c r="AQ27" s="335"/>
      <c r="AR27" s="335"/>
      <c r="AS27" s="289"/>
      <c r="AT27" s="377"/>
      <c r="AU27" s="377"/>
      <c r="AV27" s="377"/>
      <c r="AW27" s="377"/>
      <c r="AX27" s="377"/>
      <c r="AY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2292"/>
      <c r="AC28" s="2292"/>
      <c r="AD28" s="2292"/>
      <c r="AE28" s="2292"/>
      <c r="AF28" s="335"/>
      <c r="AG28" s="2292" t="str">
        <f>IF(TITLE_DATE_PR_CHANGE="",IF(TITLE_DATE_PR="","",TITLE_DATE_PR),TITLE_DATE_PR_CHANGE)</f>
        <v/>
      </c>
      <c r="AH28" s="2292"/>
      <c r="AI28" s="2292"/>
      <c r="AJ28" s="2292"/>
      <c r="AK28" s="2292"/>
      <c r="AL28" s="2292"/>
      <c r="AM28" s="2292"/>
      <c r="AN28" s="2292"/>
      <c r="AO28" s="2292"/>
      <c r="AP28" s="2292"/>
      <c r="AQ28" s="335"/>
      <c r="AR28" s="335"/>
      <c r="AS28" s="289"/>
      <c r="AT28" s="377"/>
      <c r="AU28" s="377"/>
      <c r="AV28" s="377"/>
      <c r="AW28" s="377"/>
      <c r="AX28" s="377"/>
      <c r="AY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2279"/>
      <c r="AC29" s="2279"/>
      <c r="AD29" s="2279"/>
      <c r="AE29" s="2279"/>
      <c r="AF29" s="335"/>
      <c r="AG29" s="2279" t="str">
        <f>IF(TITLE_NUMBER_PR_CHANGE="",IF(TITLE_NUMBER_PR="","",TITLE_NUMBER_PR),TITLE_NUMBER_PR_CHANGE)</f>
        <v/>
      </c>
      <c r="AH29" s="2279"/>
      <c r="AI29" s="2279"/>
      <c r="AJ29" s="2279"/>
      <c r="AK29" s="2279"/>
      <c r="AL29" s="2279"/>
      <c r="AM29" s="2279"/>
      <c r="AN29" s="2279"/>
      <c r="AO29" s="2279"/>
      <c r="AP29" s="2279"/>
      <c r="AQ29" s="335"/>
      <c r="AR29" s="335"/>
      <c r="AS29" s="289"/>
      <c r="AT29" s="377"/>
      <c r="AU29" s="377"/>
      <c r="AV29" s="377"/>
      <c r="AW29" s="377"/>
      <c r="AX29" s="377"/>
      <c r="AY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2279"/>
      <c r="AC30" s="2279"/>
      <c r="AD30" s="2279"/>
      <c r="AE30" s="2279"/>
      <c r="AF30" s="335"/>
      <c r="AG30" s="2279" t="str">
        <f>IF(TITLE_IST_PUB_CHANGE="",IF(TITLE_IST_PUB="","",TITLE_IST_PUB),TITLE_IST_PUB_CHANGE)</f>
        <v/>
      </c>
      <c r="AH30" s="2279"/>
      <c r="AI30" s="2279"/>
      <c r="AJ30" s="2279"/>
      <c r="AK30" s="2279"/>
      <c r="AL30" s="2279"/>
      <c r="AM30" s="2279"/>
      <c r="AN30" s="2279"/>
      <c r="AO30" s="2279"/>
      <c r="AP30" s="2279"/>
      <c r="AQ30" s="335"/>
      <c r="AR30" s="335"/>
      <c r="AS30" s="289"/>
      <c r="AT30" s="377"/>
      <c r="AU30" s="377"/>
      <c r="AV30" s="377"/>
      <c r="AW30" s="377"/>
      <c r="AX30" s="377"/>
      <c r="AY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518"/>
      <c r="AY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2292"/>
      <c r="AC32" s="2292"/>
      <c r="AD32" s="2292"/>
      <c r="AE32" s="2292"/>
      <c r="AF32" s="335"/>
      <c r="AG32" s="2292" t="str">
        <f>IF(TITLE_DATE_PR_CHANGE="",IF(TITLE_DATE_PR="","",TITLE_DATE_PR),TITLE_DATE_PR_CHANGE)</f>
        <v/>
      </c>
      <c r="AH32" s="2292"/>
      <c r="AI32" s="2292"/>
      <c r="AJ32" s="2292"/>
      <c r="AK32" s="2292"/>
      <c r="AL32" s="2292"/>
      <c r="AM32" s="2292"/>
      <c r="AN32" s="2292"/>
      <c r="AO32" s="2292"/>
      <c r="AP32" s="2292"/>
      <c r="AQ32" s="335"/>
      <c r="AR32" s="335"/>
      <c r="AS32" s="289"/>
      <c r="AT32" s="377"/>
      <c r="AU32" s="377"/>
      <c r="AV32" s="377"/>
      <c r="AW32" s="377"/>
      <c r="AX32" s="377"/>
      <c r="AY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2279"/>
      <c r="AC33" s="2279"/>
      <c r="AD33" s="2279"/>
      <c r="AE33" s="2279"/>
      <c r="AF33" s="335"/>
      <c r="AG33" s="2279" t="str">
        <f>IF(TITLE_NUMBER_PR_CHANGE="",IF(TITLE_NUMBER_PR="","",TITLE_NUMBER_PR),TITLE_NUMBER_PR_CHANGE)</f>
        <v/>
      </c>
      <c r="AH33" s="2279"/>
      <c r="AI33" s="2279"/>
      <c r="AJ33" s="2279"/>
      <c r="AK33" s="2279"/>
      <c r="AL33" s="2279"/>
      <c r="AM33" s="2279"/>
      <c r="AN33" s="2279"/>
      <c r="AO33" s="2279"/>
      <c r="AP33" s="2279"/>
      <c r="AQ33" s="335"/>
      <c r="AR33" s="335"/>
      <c r="AS33" s="289"/>
      <c r="AT33" s="377"/>
      <c r="AU33" s="377"/>
      <c r="AV33" s="377"/>
      <c r="AW33" s="377"/>
      <c r="AX33" s="377"/>
      <c r="AY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1644"/>
      <c r="X34" s="1644"/>
      <c r="Y34" s="1644"/>
      <c r="Z34" s="1644"/>
      <c r="AA34" s="1644"/>
      <c r="AB34" s="1644"/>
      <c r="AC34" s="335"/>
      <c r="AD34" s="335"/>
      <c r="AE34" s="335"/>
      <c r="AF34" s="287" t="s">
        <v>438</v>
      </c>
      <c r="AG34" s="335"/>
      <c r="AH34" s="1644"/>
      <c r="AI34" s="1644"/>
      <c r="AJ34" s="1644"/>
      <c r="AK34" s="1644"/>
      <c r="AL34" s="1644"/>
      <c r="AM34" s="335"/>
      <c r="AN34" s="335"/>
      <c r="AO34" s="335"/>
      <c r="AP34" s="335"/>
      <c r="AQ34" s="287" t="s">
        <v>438</v>
      </c>
      <c r="AT34" s="377"/>
      <c r="AU34" s="377"/>
      <c r="AV34" s="377"/>
      <c r="AW34" s="377"/>
      <c r="AX34" s="377"/>
      <c r="AY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c r="AL36" s="2155"/>
      <c r="AM36" s="2155"/>
      <c r="AN36" s="2155"/>
      <c r="AO36" s="2155"/>
      <c r="AP36" s="2155"/>
      <c r="AQ36" s="2155"/>
      <c r="AR36" s="2155"/>
      <c r="AS36" s="2155" t="s">
        <v>316</v>
      </c>
      <c r="AY36" s="1164">
        <v>14</v>
      </c>
    </row>
    <row customHeight="1" ht="14.699999999999998">
      <c r="Q37" s="385"/>
      <c r="R37" s="385"/>
      <c r="S37" s="2301" t="s">
        <v>89</v>
      </c>
      <c r="T37" s="2237" t="s">
        <v>439</v>
      </c>
      <c r="U37" s="310"/>
      <c r="V37" s="2302" t="s">
        <v>440</v>
      </c>
      <c r="W37" s="2319"/>
      <c r="X37" s="2319"/>
      <c r="Y37" s="2319"/>
      <c r="Z37" s="2319"/>
      <c r="AA37" s="2319"/>
      <c r="AB37" s="2319"/>
      <c r="AC37" s="2303"/>
      <c r="AD37" s="2303"/>
      <c r="AE37" s="2304"/>
      <c r="AF37" s="2305" t="s">
        <v>441</v>
      </c>
      <c r="AG37" s="2302" t="s">
        <v>440</v>
      </c>
      <c r="AH37" s="2303"/>
      <c r="AI37" s="2303"/>
      <c r="AJ37" s="2303"/>
      <c r="AK37" s="2303"/>
      <c r="AL37" s="2303"/>
      <c r="AM37" s="2303"/>
      <c r="AN37" s="2303"/>
      <c r="AO37" s="2303"/>
      <c r="AP37" s="2304"/>
      <c r="AQ37" s="2305" t="s">
        <v>442</v>
      </c>
      <c r="AR37" s="2308" t="s">
        <v>443</v>
      </c>
      <c r="AS37" s="2155"/>
      <c r="AY37" s="1164">
        <v>14</v>
      </c>
    </row>
    <row customHeight="1" ht="19.95">
      <c r="Q38" s="385"/>
      <c r="R38" s="385"/>
      <c r="S38" s="2301"/>
      <c r="T38" s="2237"/>
      <c r="U38" s="1040"/>
      <c r="V38" s="2394" t="s">
        <v>545</v>
      </c>
      <c r="W38" s="2393" t="s">
        <v>546</v>
      </c>
      <c r="X38" s="2393"/>
      <c r="Y38" s="2393"/>
      <c r="Z38" s="2393" t="s">
        <v>547</v>
      </c>
      <c r="AA38" s="2393"/>
      <c r="AB38" s="2393"/>
      <c r="AC38" s="2322" t="s">
        <v>447</v>
      </c>
      <c r="AD38" s="2341"/>
      <c r="AE38" s="2342"/>
      <c r="AF38" s="2306"/>
      <c r="AG38" s="2394" t="s">
        <v>545</v>
      </c>
      <c r="AH38" s="2393" t="s">
        <v>546</v>
      </c>
      <c r="AI38" s="2393"/>
      <c r="AJ38" s="2393"/>
      <c r="AK38" s="2393" t="s">
        <v>547</v>
      </c>
      <c r="AL38" s="2393"/>
      <c r="AM38" s="2393"/>
      <c r="AN38" s="2322" t="s">
        <v>447</v>
      </c>
      <c r="AO38" s="2341"/>
      <c r="AP38" s="2342"/>
      <c r="AQ38" s="2306"/>
      <c r="AR38" s="2309"/>
      <c r="AS38" s="2155"/>
      <c r="AY38" s="1164">
        <v>19</v>
      </c>
    </row>
    <row s="1644" customFormat="1" customHeight="1" ht="19.95">
      <c r="A39" s="1375"/>
      <c r="B39" s="1375"/>
      <c r="C39" s="1375"/>
      <c r="D39" s="1375"/>
      <c r="E39" s="1375"/>
      <c r="F39" s="1375"/>
      <c r="G39" s="1375"/>
      <c r="H39" s="1375"/>
      <c r="I39" s="1375"/>
      <c r="J39" s="1375"/>
      <c r="K39" s="1375"/>
      <c r="L39" s="1957"/>
      <c r="M39" s="1371"/>
      <c r="N39" s="1371"/>
      <c r="O39" s="1371"/>
      <c r="P39" s="1971"/>
      <c r="Q39" s="385"/>
      <c r="R39" s="385"/>
      <c r="S39" s="2301"/>
      <c r="T39" s="2237"/>
      <c r="U39" s="1040"/>
      <c r="V39" s="2394"/>
      <c r="W39" s="2393" t="s">
        <v>548</v>
      </c>
      <c r="X39" s="2393" t="s">
        <v>549</v>
      </c>
      <c r="Y39" s="2393"/>
      <c r="Z39" s="2393" t="s">
        <v>550</v>
      </c>
      <c r="AA39" s="2393" t="s">
        <v>549</v>
      </c>
      <c r="AB39" s="2393"/>
      <c r="AC39" s="2323"/>
      <c r="AD39" s="2343"/>
      <c r="AE39" s="2344"/>
      <c r="AF39" s="2306"/>
      <c r="AG39" s="2394"/>
      <c r="AH39" s="2393" t="s">
        <v>548</v>
      </c>
      <c r="AI39" s="2393" t="s">
        <v>549</v>
      </c>
      <c r="AJ39" s="2393"/>
      <c r="AK39" s="2393" t="s">
        <v>550</v>
      </c>
      <c r="AL39" s="2393" t="s">
        <v>549</v>
      </c>
      <c r="AM39" s="2393"/>
      <c r="AN39" s="2323"/>
      <c r="AO39" s="2343"/>
      <c r="AP39" s="2344"/>
      <c r="AQ39" s="2306"/>
      <c r="AR39" s="2309"/>
      <c r="AS39" s="2155"/>
      <c r="AT39" s="1645"/>
      <c r="AU39" s="1645"/>
      <c r="AV39" s="1645"/>
      <c r="AW39" s="1645"/>
      <c r="AX39" s="1645"/>
      <c r="AY39" s="1640">
        <v>19</v>
      </c>
    </row>
    <row customHeight="1" ht="61.949999999999996">
      <c r="A40" s="1379"/>
      <c r="B40" s="1379" t="s">
        <v>152</v>
      </c>
      <c r="C40" s="1379" t="s">
        <v>153</v>
      </c>
      <c r="D40" s="1379" t="s">
        <v>154</v>
      </c>
      <c r="E40" s="1373" t="s">
        <v>448</v>
      </c>
      <c r="F40" s="1373" t="s">
        <v>449</v>
      </c>
      <c r="G40" s="1373" t="s">
        <v>450</v>
      </c>
      <c r="H40" s="1373"/>
      <c r="I40" s="1373" t="s">
        <v>503</v>
      </c>
      <c r="J40" s="1373" t="s">
        <v>453</v>
      </c>
      <c r="K40" s="1373" t="s">
        <v>504</v>
      </c>
      <c r="L40" s="1373" t="s">
        <v>433</v>
      </c>
      <c r="Q40" s="385"/>
      <c r="R40" s="385"/>
      <c r="S40" s="2301"/>
      <c r="T40" s="2237"/>
      <c r="U40" s="311"/>
      <c r="V40" s="2394"/>
      <c r="W40" s="2393"/>
      <c r="X40" s="1989" t="s">
        <v>551</v>
      </c>
      <c r="Y40" s="1989" t="s">
        <v>552</v>
      </c>
      <c r="Z40" s="2393"/>
      <c r="AA40" s="1989" t="s">
        <v>553</v>
      </c>
      <c r="AB40" s="1989" t="s">
        <v>554</v>
      </c>
      <c r="AC40" s="1498" t="s">
        <v>457</v>
      </c>
      <c r="AD40" s="2298" t="s">
        <v>458</v>
      </c>
      <c r="AE40" s="2299"/>
      <c r="AF40" s="2307"/>
      <c r="AG40" s="2394"/>
      <c r="AH40" s="2393"/>
      <c r="AI40" s="1989" t="s">
        <v>551</v>
      </c>
      <c r="AJ40" s="1989" t="s">
        <v>552</v>
      </c>
      <c r="AK40" s="2393"/>
      <c r="AL40" s="1989" t="s">
        <v>553</v>
      </c>
      <c r="AM40" s="1989" t="s">
        <v>554</v>
      </c>
      <c r="AN40" s="1498" t="s">
        <v>457</v>
      </c>
      <c r="AO40" s="2298" t="s">
        <v>458</v>
      </c>
      <c r="AP40" s="2299"/>
      <c r="AQ40" s="2307"/>
      <c r="AR40" s="2310"/>
      <c r="AS40" s="2155"/>
      <c r="AY40" s="1164">
        <v>59</v>
      </c>
    </row>
    <row s="1650" customFormat="1" customHeight="1" ht="11.25" hidden="1">
      <c r="A41" s="1379"/>
      <c r="B41" s="1379"/>
      <c r="C41" s="1379"/>
      <c r="D41" s="1379"/>
      <c r="E41" s="1379"/>
      <c r="F41" s="1379"/>
      <c r="G41" s="1379"/>
      <c r="H41" s="1379"/>
      <c r="I41" s="1379"/>
      <c r="J41" s="1379"/>
      <c r="K41" s="1379"/>
      <c r="L41" s="1373"/>
      <c r="M41" s="1371"/>
      <c r="N41" s="1371"/>
      <c r="O41" s="1371"/>
      <c r="P41" s="1255"/>
      <c r="Q41" s="1256"/>
      <c r="R41" s="1263">
        <v>1</v>
      </c>
      <c r="S41" s="1286" t="s">
        <v>118</v>
      </c>
      <c r="T41" s="1264" t="s">
        <v>103</v>
      </c>
      <c r="U41" s="1254" t="str">
        <f>OFFSET(U41,0,-1)</f>
        <v>2</v>
      </c>
      <c r="V41" s="1491">
        <f>OFFSET(V41,0,-1)+1</f>
        <v>3</v>
      </c>
      <c r="W41" s="1350"/>
      <c r="X41" s="1350"/>
      <c r="Y41" s="1350"/>
      <c r="Z41" s="1350"/>
      <c r="AA41" s="1350"/>
      <c r="AB41" s="1350"/>
      <c r="AC41" s="1491">
        <f>OFFSET(AC41,0,-1)+1</f>
        <v>1</v>
      </c>
      <c r="AD41" s="2300">
        <f>OFFSET(AD41,0,-1)+1</f>
        <v>2</v>
      </c>
      <c r="AE41" s="2300"/>
      <c r="AF41" s="1491">
        <f>OFFSET(AF41,0,-2)+1</f>
        <v>3</v>
      </c>
      <c r="AG41" s="1491">
        <f>OFFSET(AG41,0,-1)+1</f>
        <v>4</v>
      </c>
      <c r="AH41" s="1962"/>
      <c r="AI41" s="1962"/>
      <c r="AJ41" s="1962"/>
      <c r="AK41" s="1962"/>
      <c r="AL41" s="1962"/>
      <c r="AM41" s="1491">
        <f>OFFSET(AM41,0,-1)+1</f>
        <v>1</v>
      </c>
      <c r="AN41" s="1491">
        <f>OFFSET(AN41,0,-1)+1</f>
        <v>2</v>
      </c>
      <c r="AO41" s="2300">
        <f>OFFSET(AO41,0,-1)+1</f>
        <v>3</v>
      </c>
      <c r="AP41" s="2300"/>
      <c r="AQ41" s="1491">
        <f>OFFSET(AQ41,0,-2)+1</f>
        <v>4</v>
      </c>
      <c r="AR41" s="1254">
        <f>OFFSET(AR41,0,-1)</f>
        <v>4</v>
      </c>
      <c r="AS41" s="1491">
        <f>OFFSET(AS41,0,-1)+1</f>
        <v>5</v>
      </c>
      <c r="AT41" s="520"/>
      <c r="AU41" s="520"/>
      <c r="AV41" s="520"/>
      <c r="AW41" s="520"/>
      <c r="AX41" s="520"/>
      <c r="AY41" s="505">
        <v>0</v>
      </c>
    </row>
    <row customHeight="1" ht="24">
      <c r="A42" s="1372" t="s">
        <v>266</v>
      </c>
      <c r="B42" s="1372"/>
      <c r="C42" s="1372"/>
      <c r="D42" s="1372"/>
      <c r="E42" s="2286">
        <v>1</v>
      </c>
      <c r="F42" s="1372"/>
      <c r="G42" s="1372"/>
      <c r="H42" s="1372"/>
      <c r="I42" s="1372"/>
      <c r="J42" s="1372"/>
      <c r="K42" s="1372"/>
      <c r="L42" s="1373"/>
      <c r="M42" s="1374"/>
      <c r="N42" s="1374"/>
      <c r="O42" s="1374"/>
      <c r="P42" s="370"/>
      <c r="Q42" s="369"/>
      <c r="R42" s="364"/>
      <c r="S42" s="1502">
        <f>INDEX(PT_DIFFERENTIATION_NUM_NTAR,MATCH(A42,PT_DIFFERENTIATION_NTAR_ID,0))</f>
        <v>0</v>
      </c>
      <c r="T42" s="307" t="s">
        <v>140</v>
      </c>
      <c r="U42" s="309"/>
      <c r="V42" s="2270"/>
      <c r="W42" s="2271"/>
      <c r="X42" s="2271"/>
      <c r="Y42" s="2271"/>
      <c r="Z42" s="2271"/>
      <c r="AA42" s="2271"/>
      <c r="AB42" s="2271"/>
      <c r="AC42" s="2271"/>
      <c r="AD42" s="2271"/>
      <c r="AE42" s="2271"/>
      <c r="AF42" s="2272"/>
      <c r="AG42" s="2270" t="str">
        <f>INDEX(PT_DIFFERENTIATION_NTAR,MATCH(A42,PT_DIFFERENTIATION_NTAR_ID,0))</f>
        <v/>
      </c>
      <c r="AH42" s="2271"/>
      <c r="AI42" s="2271"/>
      <c r="AJ42" s="2271"/>
      <c r="AK42" s="2271"/>
      <c r="AL42" s="2271"/>
      <c r="AM42" s="2271"/>
      <c r="AN42" s="2271"/>
      <c r="AO42" s="2271"/>
      <c r="AP42" s="2271"/>
      <c r="AQ42" s="2271"/>
      <c r="AR42" s="2272"/>
      <c r="AS4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9"/>
      <c r="AV42" s="509" t="str">
        <f>IF(T42="","",T42)</f>
        <v>Наименование тарифа</v>
      </c>
      <c r="AW42" s="509"/>
      <c r="AX42" s="509"/>
      <c r="AY42" s="1164">
        <v>23</v>
      </c>
    </row>
    <row customHeight="1" ht="24">
      <c r="A43" s="1372" t="s">
        <v>266</v>
      </c>
      <c r="B43" s="1372" t="s">
        <v>267</v>
      </c>
      <c r="C43" s="1372"/>
      <c r="D43" s="1372"/>
      <c r="E43" s="2287"/>
      <c r="F43" s="2286">
        <v>1</v>
      </c>
      <c r="G43" s="1372"/>
      <c r="H43" s="1372"/>
      <c r="I43" s="1372"/>
      <c r="J43" s="1372"/>
      <c r="K43" s="1372"/>
      <c r="L43" s="1373"/>
      <c r="M43" s="1374"/>
      <c r="N43" s="1374"/>
      <c r="O43" s="1374"/>
      <c r="P43" s="1496"/>
      <c r="Q43" s="361"/>
      <c r="R43" s="362"/>
      <c r="S43" s="1502" t="str">
        <f>INDEX(PT_DIFFERENTIATION_NUM_TER,MATCH(B43,PT_DIFFERENTIATION_TER_ID,0))</f>
        <v>.</v>
      </c>
      <c r="T43" s="317" t="s">
        <v>412</v>
      </c>
      <c r="U43" s="309"/>
      <c r="V43" s="2270"/>
      <c r="W43" s="2271"/>
      <c r="X43" s="2271"/>
      <c r="Y43" s="2271"/>
      <c r="Z43" s="2271"/>
      <c r="AA43" s="2271"/>
      <c r="AB43" s="2271"/>
      <c r="AC43" s="2271"/>
      <c r="AD43" s="2271"/>
      <c r="AE43" s="2271"/>
      <c r="AF43" s="2272"/>
      <c r="AG43" s="2270" t="str">
        <f>INDEX(PT_DIFFERENTIATION_TER,MATCH(B43,PT_DIFFERENTIATION_TER_ID,0))</f>
        <v/>
      </c>
      <c r="AH43" s="2271"/>
      <c r="AI43" s="2271"/>
      <c r="AJ43" s="2271"/>
      <c r="AK43" s="2271"/>
      <c r="AL43" s="2271"/>
      <c r="AM43" s="2271"/>
      <c r="AN43" s="2271"/>
      <c r="AO43" s="2271"/>
      <c r="AP43" s="2271"/>
      <c r="AQ43" s="2271"/>
      <c r="AR43" s="2272"/>
      <c r="AS43" s="1267" t="s">
        <v>413</v>
      </c>
      <c r="AU43" s="509"/>
      <c r="AV43" s="509" t="str">
        <f>IF(T43="","",T43)</f>
        <v>Территория действия тарифа</v>
      </c>
      <c r="AW43" s="509"/>
      <c r="AX43" s="509"/>
      <c r="AY43" s="1164">
        <v>23</v>
      </c>
    </row>
    <row customHeight="1" ht="24">
      <c r="A44" s="1372" t="s">
        <v>266</v>
      </c>
      <c r="B44" s="1372" t="s">
        <v>267</v>
      </c>
      <c r="C44" s="1372" t="s">
        <v>268</v>
      </c>
      <c r="D44" s="1372"/>
      <c r="E44" s="2287"/>
      <c r="F44" s="2287"/>
      <c r="G44" s="2286">
        <v>1</v>
      </c>
      <c r="H44" s="1372"/>
      <c r="I44" s="1372"/>
      <c r="J44" s="1372"/>
      <c r="K44" s="1372"/>
      <c r="L44" s="1373"/>
      <c r="M44" s="1374"/>
      <c r="N44" s="1374"/>
      <c r="O44" s="1374"/>
      <c r="P44" s="363"/>
      <c r="Q44" s="361"/>
      <c r="R44" s="362"/>
      <c r="S44" s="1502" t="str">
        <f>INDEX(PT_DIFFERENTIATION_NUM_CS,MATCH(C44,PT_DIFFERENTIATION_CS_ID,0))</f>
        <v>..</v>
      </c>
      <c r="T44" s="318" t="s">
        <v>543</v>
      </c>
      <c r="U44" s="309"/>
      <c r="V44" s="2270"/>
      <c r="W44" s="2271"/>
      <c r="X44" s="2271"/>
      <c r="Y44" s="2271"/>
      <c r="Z44" s="2271"/>
      <c r="AA44" s="2271"/>
      <c r="AB44" s="2271"/>
      <c r="AC44" s="2271"/>
      <c r="AD44" s="2271"/>
      <c r="AE44" s="2271"/>
      <c r="AF44" s="2272"/>
      <c r="AG44" s="2270" t="str">
        <f>INDEX(PT_DIFFERENTIATION_CS,MATCH(C44,PT_DIFFERENTIATION_CS_ID,0))</f>
        <v/>
      </c>
      <c r="AH44" s="2271"/>
      <c r="AI44" s="2271"/>
      <c r="AJ44" s="2271"/>
      <c r="AK44" s="2271"/>
      <c r="AL44" s="2271"/>
      <c r="AM44" s="2271"/>
      <c r="AN44" s="2271"/>
      <c r="AO44" s="2271"/>
      <c r="AP44" s="2271"/>
      <c r="AQ44" s="2271"/>
      <c r="AR44" s="2272"/>
      <c r="AS44" s="1267" t="s">
        <v>544</v>
      </c>
      <c r="AU44" s="509"/>
      <c r="AV44" s="509" t="str">
        <f>IF(T44="","",T44)</f>
        <v>Наименование централизованной системы горячего водоснабжения</v>
      </c>
      <c r="AW44" s="509"/>
      <c r="AX44" s="509"/>
      <c r="AY44" s="1164">
        <v>23</v>
      </c>
    </row>
    <row customHeight="1" ht="24">
      <c r="A45" s="1372" t="s">
        <v>266</v>
      </c>
      <c r="B45" s="1372" t="s">
        <v>267</v>
      </c>
      <c r="C45" s="1372" t="s">
        <v>268</v>
      </c>
      <c r="D45" s="1372" t="s">
        <v>555</v>
      </c>
      <c r="E45" s="2287"/>
      <c r="F45" s="2287"/>
      <c r="G45" s="2287"/>
      <c r="H45" s="2287"/>
      <c r="I45" s="2284" t="str">
        <f>S44&amp;".1"</f>
        <v>...1</v>
      </c>
      <c r="J45" s="1372"/>
      <c r="K45" s="1372"/>
      <c r="L45" s="1373"/>
      <c r="P45" s="2285">
        <v>1</v>
      </c>
      <c r="Q45" s="1490"/>
      <c r="R45" s="365"/>
      <c r="S45" s="1502" t="str">
        <f>$I45</f>
        <v>...1</v>
      </c>
      <c r="T45" s="294" t="s">
        <v>496</v>
      </c>
      <c r="U45" s="309"/>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267" t="s">
        <v>497</v>
      </c>
      <c r="AU45" s="509"/>
      <c r="AV45" s="509" t="str">
        <f>IF(T45="","",T45)</f>
        <v>Наименование признака дифференциации</v>
      </c>
      <c r="AW45" s="509"/>
      <c r="AX45" s="509"/>
      <c r="AY45" s="1164">
        <v>23</v>
      </c>
    </row>
    <row customHeight="1" ht="24">
      <c r="A46" s="1372" t="s">
        <v>266</v>
      </c>
      <c r="B46" s="1372" t="s">
        <v>267</v>
      </c>
      <c r="C46" s="1372" t="s">
        <v>268</v>
      </c>
      <c r="D46" s="1372" t="s">
        <v>555</v>
      </c>
      <c r="E46" s="2287"/>
      <c r="F46" s="2287"/>
      <c r="G46" s="2287"/>
      <c r="H46" s="2287"/>
      <c r="I46" s="2314"/>
      <c r="J46" s="2284" t="str">
        <f>I45&amp;".1"</f>
        <v>...1.1</v>
      </c>
      <c r="K46" s="1372"/>
      <c r="L46" s="1373" t="s">
        <v>421</v>
      </c>
      <c r="P46" s="2285"/>
      <c r="Q46" s="2285">
        <v>1</v>
      </c>
      <c r="R46" s="366"/>
      <c r="S46" s="1502" t="str">
        <f>$J46</f>
        <v>...1.1</v>
      </c>
      <c r="T46" s="295" t="s">
        <v>422</v>
      </c>
      <c r="U46" s="309"/>
      <c r="V46" s="2273"/>
      <c r="W46" s="2274"/>
      <c r="X46" s="2274"/>
      <c r="Y46" s="2274"/>
      <c r="Z46" s="2274"/>
      <c r="AA46" s="2274"/>
      <c r="AB46" s="2274"/>
      <c r="AC46" s="2274"/>
      <c r="AD46" s="2274"/>
      <c r="AE46" s="2274"/>
      <c r="AF46" s="2275"/>
      <c r="AG46" s="2273"/>
      <c r="AH46" s="2274"/>
      <c r="AI46" s="2274"/>
      <c r="AJ46" s="2274"/>
      <c r="AK46" s="2274"/>
      <c r="AL46" s="2274"/>
      <c r="AM46" s="2274"/>
      <c r="AN46" s="2274"/>
      <c r="AO46" s="2274"/>
      <c r="AP46" s="2274"/>
      <c r="AQ46" s="2274"/>
      <c r="AR46" s="2275"/>
      <c r="AS46" s="1316" t="s">
        <v>498</v>
      </c>
      <c r="AU46" s="509"/>
      <c r="AV46" s="509" t="str">
        <f>IF(T46="","",T46)</f>
        <v>Группа потребителей</v>
      </c>
      <c r="AW46" s="509"/>
      <c r="AX46" s="509"/>
      <c r="AY46" s="1164">
        <v>23</v>
      </c>
    </row>
    <row customHeight="1" ht="24">
      <c r="A47" s="1372" t="s">
        <v>266</v>
      </c>
      <c r="B47" s="1372" t="s">
        <v>267</v>
      </c>
      <c r="C47" s="1372" t="s">
        <v>268</v>
      </c>
      <c r="D47" s="1372" t="s">
        <v>555</v>
      </c>
      <c r="E47" s="2287"/>
      <c r="F47" s="2287"/>
      <c r="G47" s="2287"/>
      <c r="H47" s="2287"/>
      <c r="I47" s="2314"/>
      <c r="J47" s="2314"/>
      <c r="K47" s="2284" t="str">
        <f>J46&amp;".1"</f>
        <v>...1.1.1</v>
      </c>
      <c r="L47" s="1373"/>
      <c r="P47" s="2285"/>
      <c r="Q47" s="2285"/>
      <c r="R47" s="366">
        <v>1</v>
      </c>
      <c r="S47" s="1502" t="str">
        <f>$K47</f>
        <v>...1.1.1</v>
      </c>
      <c r="T47" s="1446"/>
      <c r="U47" s="309"/>
      <c r="V47" s="760"/>
      <c r="W47" s="760"/>
      <c r="X47" s="760"/>
      <c r="Y47" s="760"/>
      <c r="Z47" s="760"/>
      <c r="AA47" s="760"/>
      <c r="AB47" s="760"/>
      <c r="AC47" s="2295"/>
      <c r="AD47" s="2296" t="s">
        <v>63</v>
      </c>
      <c r="AE47" s="2295"/>
      <c r="AF47" s="2296" t="s">
        <v>63</v>
      </c>
      <c r="AG47" s="760"/>
      <c r="AH47" s="760"/>
      <c r="AI47" s="760"/>
      <c r="AJ47" s="760"/>
      <c r="AK47" s="760"/>
      <c r="AL47" s="760"/>
      <c r="AM47" s="760"/>
      <c r="AN47" s="2293"/>
      <c r="AO47" s="2135" t="s">
        <v>63</v>
      </c>
      <c r="AP47" s="2315"/>
      <c r="AQ47" s="2135" t="s">
        <v>19</v>
      </c>
      <c r="AR47" s="1447"/>
      <c r="AS4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0">
        <f>STRCHECKDATE(V48:AR48)</f>
      </c>
      <c r="AU47" s="509"/>
      <c r="AV47" s="509" t="str">
        <f>IF(T47="","",T47)</f>
        <v/>
      </c>
      <c r="AW47" s="509"/>
      <c r="AX47" s="509"/>
      <c r="AY47" s="1164">
        <v>23</v>
      </c>
    </row>
    <row customHeight="1" ht="0">
      <c r="A48" s="1372" t="s">
        <v>266</v>
      </c>
      <c r="B48" s="1372" t="s">
        <v>267</v>
      </c>
      <c r="C48" s="1372" t="s">
        <v>268</v>
      </c>
      <c r="D48" s="1372" t="s">
        <v>555</v>
      </c>
      <c r="E48" s="2287"/>
      <c r="F48" s="2287"/>
      <c r="G48" s="2287"/>
      <c r="H48" s="2287"/>
      <c r="I48" s="2314"/>
      <c r="J48" s="2314"/>
      <c r="K48" s="2284"/>
      <c r="L48" s="1373"/>
      <c r="P48" s="2285"/>
      <c r="Q48" s="2285"/>
      <c r="R48" s="366"/>
      <c r="S48" s="1499"/>
      <c r="T48" s="309"/>
      <c r="U48" s="309"/>
      <c r="V48" s="1369"/>
      <c r="W48" s="1369"/>
      <c r="X48" s="1369"/>
      <c r="Y48" s="1369"/>
      <c r="Z48" s="1369"/>
      <c r="AA48" s="1369"/>
      <c r="AB48" s="1369"/>
      <c r="AC48" s="2296"/>
      <c r="AD48" s="2296"/>
      <c r="AE48" s="2296"/>
      <c r="AF48" s="2296"/>
      <c r="AG48" s="334"/>
      <c r="AH48" s="334"/>
      <c r="AI48" s="334"/>
      <c r="AJ48" s="334"/>
      <c r="AK48" s="334"/>
      <c r="AL48" s="334"/>
      <c r="AM48" s="334"/>
      <c r="AN48" s="2294"/>
      <c r="AO48" s="2135"/>
      <c r="AP48" s="2316"/>
      <c r="AQ48" s="2135"/>
      <c r="AR48" s="1448"/>
      <c r="AS48" s="2377"/>
      <c r="AU48" s="509"/>
      <c r="AV48" s="509" t="str">
        <f>IF(T48="","",T48)</f>
        <v/>
      </c>
      <c r="AW48" s="509"/>
      <c r="AX48" s="509"/>
      <c r="AY48" s="1164">
        <v>0</v>
      </c>
    </row>
    <row customHeight="1" ht="21">
      <c r="A49" s="1372" t="s">
        <v>266</v>
      </c>
      <c r="B49" s="1372" t="s">
        <v>267</v>
      </c>
      <c r="C49" s="1372" t="s">
        <v>268</v>
      </c>
      <c r="D49" s="1372" t="s">
        <v>555</v>
      </c>
      <c r="E49" s="2287"/>
      <c r="F49" s="2287"/>
      <c r="G49" s="2287"/>
      <c r="H49" s="2287"/>
      <c r="I49" s="2314"/>
      <c r="J49" s="2284"/>
      <c r="K49" s="1372"/>
      <c r="L49" s="1373"/>
      <c r="P49" s="2285"/>
      <c r="Q49" s="2285"/>
      <c r="R49" s="365"/>
      <c r="S49" s="1287"/>
      <c r="T49" s="296" t="s">
        <v>499</v>
      </c>
      <c r="U49" s="376"/>
      <c r="V49" s="376"/>
      <c r="W49" s="609"/>
      <c r="X49" s="609"/>
      <c r="Y49" s="609"/>
      <c r="Z49" s="609"/>
      <c r="AA49" s="609"/>
      <c r="AB49" s="609"/>
      <c r="AC49" s="376"/>
      <c r="AD49" s="376"/>
      <c r="AE49" s="376"/>
      <c r="AF49" s="376"/>
      <c r="AG49" s="376"/>
      <c r="AH49" s="609"/>
      <c r="AI49" s="609"/>
      <c r="AJ49" s="609"/>
      <c r="AK49" s="609"/>
      <c r="AL49" s="609"/>
      <c r="AM49" s="376"/>
      <c r="AN49" s="376"/>
      <c r="AO49" s="376"/>
      <c r="AP49" s="376"/>
      <c r="AQ49" s="376"/>
      <c r="AR49" s="376"/>
      <c r="AS49" s="1267" t="s">
        <v>500</v>
      </c>
      <c r="AU49" s="509"/>
      <c r="AV49" s="509" t="str">
        <f>IF(T49="","",T49)</f>
        <v>Добавить значение признака дифференциации</v>
      </c>
      <c r="AW49" s="509"/>
      <c r="AX49" s="509"/>
      <c r="AY49" s="1164">
        <v>20</v>
      </c>
    </row>
    <row customHeight="1" ht="22.049999999999997">
      <c r="A50" s="1372" t="s">
        <v>266</v>
      </c>
      <c r="B50" s="1372" t="s">
        <v>267</v>
      </c>
      <c r="C50" s="1372" t="s">
        <v>268</v>
      </c>
      <c r="D50" s="1372" t="s">
        <v>555</v>
      </c>
      <c r="E50" s="2287"/>
      <c r="F50" s="2287"/>
      <c r="G50" s="2287"/>
      <c r="H50" s="2287"/>
      <c r="I50" s="2284"/>
      <c r="J50" s="1372"/>
      <c r="K50" s="1372"/>
      <c r="L50" s="1373"/>
      <c r="P50" s="2285"/>
      <c r="Q50" s="1490"/>
      <c r="R50" s="365"/>
      <c r="S50" s="1287"/>
      <c r="T50" s="374" t="s">
        <v>427</v>
      </c>
      <c r="U50" s="376"/>
      <c r="V50" s="376"/>
      <c r="W50" s="609"/>
      <c r="X50" s="609"/>
      <c r="Y50" s="609"/>
      <c r="Z50" s="609"/>
      <c r="AA50" s="609"/>
      <c r="AB50" s="609"/>
      <c r="AC50" s="376"/>
      <c r="AD50" s="376"/>
      <c r="AE50" s="376"/>
      <c r="AF50" s="375"/>
      <c r="AG50" s="376"/>
      <c r="AH50" s="609"/>
      <c r="AI50" s="609"/>
      <c r="AJ50" s="609"/>
      <c r="AK50" s="609"/>
      <c r="AL50" s="609"/>
      <c r="AM50" s="376"/>
      <c r="AN50" s="376"/>
      <c r="AO50" s="376"/>
      <c r="AP50" s="376"/>
      <c r="AQ50" s="375"/>
      <c r="AR50" s="376"/>
      <c r="AS50" s="1449"/>
      <c r="AU50" s="509"/>
      <c r="AV50" s="509" t="str">
        <f>IF(T50="","",T50)</f>
        <v>Добавить группу потребителей</v>
      </c>
      <c r="AW50" s="509"/>
      <c r="AX50" s="509"/>
      <c r="AY50" s="1164">
        <v>21</v>
      </c>
    </row>
    <row customHeight="1" ht="22.049999999999997">
      <c r="A51" s="1372" t="s">
        <v>266</v>
      </c>
      <c r="B51" s="1372" t="s">
        <v>267</v>
      </c>
      <c r="C51" s="1372" t="s">
        <v>268</v>
      </c>
      <c r="D51" s="1372" t="s">
        <v>555</v>
      </c>
      <c r="E51" s="2287"/>
      <c r="F51" s="2287"/>
      <c r="G51" s="2287"/>
      <c r="H51" s="2286"/>
      <c r="I51" s="1372"/>
      <c r="J51" s="1372"/>
      <c r="K51" s="1372"/>
      <c r="L51" s="1373"/>
      <c r="M51" s="1374"/>
      <c r="N51" s="1374"/>
      <c r="O51" s="546"/>
      <c r="P51" s="369"/>
      <c r="Q51" s="384"/>
      <c r="R51" s="364"/>
      <c r="S51" s="1287"/>
      <c r="T51" s="381" t="s">
        <v>501</v>
      </c>
      <c r="U51" s="376"/>
      <c r="V51" s="376"/>
      <c r="W51" s="609"/>
      <c r="X51" s="609"/>
      <c r="Y51" s="609"/>
      <c r="Z51" s="609"/>
      <c r="AA51" s="609"/>
      <c r="AB51" s="609"/>
      <c r="AC51" s="376"/>
      <c r="AD51" s="376"/>
      <c r="AE51" s="376"/>
      <c r="AF51" s="375"/>
      <c r="AG51" s="376"/>
      <c r="AH51" s="609"/>
      <c r="AI51" s="609"/>
      <c r="AJ51" s="609"/>
      <c r="AK51" s="609"/>
      <c r="AL51" s="609"/>
      <c r="AM51" s="376"/>
      <c r="AN51" s="376"/>
      <c r="AO51" s="376"/>
      <c r="AP51" s="376"/>
      <c r="AQ51" s="375"/>
      <c r="AR51" s="376"/>
      <c r="AS51" s="312"/>
      <c r="AU51" s="509"/>
      <c r="AV51" s="509" t="str">
        <f>IF(T51="","",T51)</f>
        <v>Добавить наименование признака дифференциации</v>
      </c>
      <c r="AW51" s="509"/>
      <c r="AX51" s="509"/>
      <c r="AY51" s="1164">
        <v>21</v>
      </c>
    </row>
    <row s="1651" customFormat="1" customHeight="1" ht="0">
      <c r="A52" s="1352" t="s">
        <v>266</v>
      </c>
      <c r="B52" s="1352" t="s">
        <v>267</v>
      </c>
      <c r="C52" s="1323"/>
      <c r="D52" s="1323"/>
      <c r="E52" s="2287"/>
      <c r="F52" s="2286"/>
      <c r="G52" s="1323"/>
      <c r="H52" s="1323"/>
      <c r="I52" s="1323"/>
      <c r="J52" s="1323"/>
      <c r="K52" s="1323"/>
      <c r="L52" s="1503"/>
      <c r="M52" s="1330"/>
      <c r="N52" s="1330"/>
      <c r="P52" s="1325"/>
      <c r="Q52" s="1326"/>
      <c r="R52" s="1325"/>
      <c r="S52" s="1331"/>
      <c r="T52" s="1334" t="s">
        <v>430</v>
      </c>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U52" s="798"/>
      <c r="AV52" s="798" t="str">
        <f>IF(T52="","",T52)</f>
        <v>Добавить централизованную систему для дифференциации</v>
      </c>
      <c r="AW52" s="798"/>
      <c r="AX52" s="798"/>
      <c r="AY52" s="527">
        <v>0</v>
      </c>
    </row>
    <row s="1651" customFormat="1" customHeight="1" ht="0">
      <c r="A53" s="1352" t="s">
        <v>266</v>
      </c>
      <c r="B53" s="1352"/>
      <c r="C53" s="1352"/>
      <c r="D53" s="1352"/>
      <c r="E53" s="2286"/>
      <c r="F53" s="1352"/>
      <c r="G53" s="1352"/>
      <c r="H53" s="1352"/>
      <c r="I53" s="1352"/>
      <c r="J53" s="1352"/>
      <c r="K53" s="1352"/>
      <c r="L53" s="1355"/>
      <c r="M53" s="1330"/>
      <c r="N53" s="1330"/>
      <c r="O53" s="527"/>
      <c r="P53" s="389"/>
      <c r="Q53" s="1353"/>
      <c r="R53" s="389"/>
      <c r="S53" s="1331"/>
      <c r="T53" s="1334" t="s">
        <v>431</v>
      </c>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U53" s="509"/>
      <c r="AV53" s="509" t="str">
        <f>IF(T53="","",T53)</f>
        <v>Добавить территорию для дифференциации</v>
      </c>
      <c r="AW53" s="509"/>
      <c r="AX53" s="509"/>
      <c r="AY53" s="520">
        <v>0</v>
      </c>
    </row>
    <row s="1651" customFormat="1" customHeight="1" ht="0">
      <c r="A54" s="1323"/>
      <c r="B54" s="1323"/>
      <c r="C54" s="1323"/>
      <c r="D54" s="1323"/>
      <c r="E54" s="1352"/>
      <c r="F54" s="1323"/>
      <c r="G54" s="1323"/>
      <c r="H54" s="1323"/>
      <c r="I54" s="1323"/>
      <c r="J54" s="1323"/>
      <c r="K54" s="1323"/>
      <c r="L54" s="1503"/>
      <c r="M54" s="1330"/>
      <c r="N54" s="1330"/>
      <c r="P54" s="1325"/>
      <c r="Q54" s="1326"/>
      <c r="R54" s="1325"/>
      <c r="S54" s="1331"/>
      <c r="T54" s="1334" t="s">
        <v>459</v>
      </c>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U54" s="798"/>
      <c r="AV54" s="798" t="str">
        <f>IF(T54="","",T54)</f>
        <v>Добавить наименование тарифа</v>
      </c>
      <c r="AW54" s="798"/>
      <c r="AX54" s="798"/>
      <c r="AY54" s="527">
        <v>0</v>
      </c>
    </row>
    <row customHeight="1" ht="11.549999999999999">
      <c r="M55" s="1169"/>
      <c r="N55" s="1169"/>
      <c r="O55" s="546"/>
      <c r="P55" s="1164"/>
      <c r="Q55" s="1164"/>
      <c r="R55" s="1164"/>
      <c r="S55" s="1164"/>
      <c r="AT55" s="1164"/>
      <c r="AU55" s="1164"/>
      <c r="AV55" s="1164"/>
      <c r="AW55" s="1164"/>
      <c r="AX55" s="1164"/>
      <c r="AY55" s="1164">
        <v>11</v>
      </c>
    </row>
    <row customHeight="1" ht="14.699999999999998">
      <c r="O56" s="546"/>
      <c r="S56" s="1262"/>
      <c r="T56" s="2313"/>
      <c r="U56" s="2313"/>
      <c r="V56" s="2313"/>
      <c r="W56" s="2313"/>
      <c r="X56" s="2313"/>
      <c r="Y56" s="2313"/>
      <c r="Z56" s="2313"/>
      <c r="AA56" s="2313"/>
      <c r="AB56" s="2313"/>
      <c r="AC56" s="2313"/>
      <c r="AD56" s="2313"/>
      <c r="AE56" s="2313"/>
      <c r="AF56" s="2313"/>
      <c r="AG56" s="2313"/>
      <c r="AH56" s="2313"/>
      <c r="AI56" s="2313"/>
      <c r="AJ56" s="2313"/>
      <c r="AK56" s="2313"/>
      <c r="AL56" s="2313"/>
      <c r="AM56" s="2313"/>
      <c r="AN56" s="2313"/>
      <c r="AO56" s="2313"/>
      <c r="AP56" s="2313"/>
      <c r="AQ56" s="2313"/>
      <c r="AR56" s="2313"/>
      <c r="AS56" s="2313"/>
      <c r="AY56" s="1164">
        <v>14</v>
      </c>
    </row>
    <row customHeight="1" ht="14.699999999999998">
      <c r="O57" s="546"/>
      <c r="AY57" s="1164">
        <v>14</v>
      </c>
    </row>
    <row customHeight="1" ht="14.699999999999998">
      <c r="O58" s="546"/>
      <c r="S58" s="1262"/>
      <c r="T58" s="2313"/>
      <c r="U58" s="2313"/>
      <c r="V58" s="2313"/>
      <c r="W58" s="2313"/>
      <c r="X58" s="2313"/>
      <c r="Y58" s="2313"/>
      <c r="Z58" s="2313"/>
      <c r="AA58" s="2313"/>
      <c r="AB58" s="2313"/>
      <c r="AC58" s="2313"/>
      <c r="AD58" s="2313"/>
      <c r="AE58" s="2313"/>
      <c r="AF58" s="2313"/>
      <c r="AG58" s="2313"/>
      <c r="AH58" s="2313"/>
      <c r="AI58" s="2313"/>
      <c r="AJ58" s="2313"/>
      <c r="AK58" s="2313"/>
      <c r="AL58" s="2313"/>
      <c r="AM58" s="2313"/>
      <c r="AN58" s="2313"/>
      <c r="AO58" s="2313"/>
      <c r="AP58" s="2313"/>
      <c r="AQ58" s="2313"/>
      <c r="AR58" s="2313"/>
      <c r="AS58" s="2313"/>
      <c r="AY58" s="1164">
        <v>14</v>
      </c>
    </row>
    <row customHeight="1" ht="22.5" hidden="1">
      <c r="A59" s="1169" t="s">
        <v>83</v>
      </c>
      <c r="B59" s="1169">
        <v>0</v>
      </c>
      <c r="C59" s="1169">
        <v>0</v>
      </c>
      <c r="D59" s="1169">
        <v>0</v>
      </c>
      <c r="E59" s="1169">
        <v>0</v>
      </c>
      <c r="F59" s="1169">
        <v>0</v>
      </c>
      <c r="G59" s="1169">
        <v>0</v>
      </c>
      <c r="H59" s="1169">
        <v>0</v>
      </c>
      <c r="I59" s="1169">
        <v>0</v>
      </c>
      <c r="J59" s="1169">
        <v>0</v>
      </c>
      <c r="K59" s="1169">
        <v>0</v>
      </c>
      <c r="L59" s="1487">
        <v>0</v>
      </c>
      <c r="M59" s="1371">
        <v>0</v>
      </c>
      <c r="N59" s="1371">
        <v>0</v>
      </c>
      <c r="O59" s="1371">
        <v>0</v>
      </c>
      <c r="P59" s="1482">
        <v>3</v>
      </c>
      <c r="Q59" s="353">
        <v>3</v>
      </c>
      <c r="R59" s="353">
        <v>3</v>
      </c>
      <c r="S59" s="590">
        <v>12</v>
      </c>
      <c r="T59" s="1164">
        <v>35</v>
      </c>
      <c r="U59" s="1164">
        <v>0</v>
      </c>
      <c r="V59" s="1164">
        <v>0</v>
      </c>
      <c r="W59" s="1640">
        <v>0</v>
      </c>
      <c r="X59" s="1640">
        <v>0</v>
      </c>
      <c r="Y59" s="1640">
        <v>0</v>
      </c>
      <c r="Z59" s="1640">
        <v>0</v>
      </c>
      <c r="AA59" s="1640">
        <v>0</v>
      </c>
      <c r="AB59" s="1640">
        <v>0</v>
      </c>
      <c r="AC59" s="1164">
        <v>0</v>
      </c>
      <c r="AD59" s="1164">
        <v>0</v>
      </c>
      <c r="AE59" s="1164">
        <v>0</v>
      </c>
      <c r="AF59" s="1164">
        <v>0</v>
      </c>
      <c r="AG59" s="1164">
        <v>19</v>
      </c>
      <c r="AH59" s="1640">
        <v>19</v>
      </c>
      <c r="AI59" s="1640">
        <v>19</v>
      </c>
      <c r="AJ59" s="1640">
        <v>19</v>
      </c>
      <c r="AK59" s="1640">
        <v>19</v>
      </c>
      <c r="AL59" s="1640">
        <v>19</v>
      </c>
      <c r="AM59" s="1164">
        <v>19</v>
      </c>
      <c r="AN59" s="1164">
        <v>11</v>
      </c>
      <c r="AO59" s="1164">
        <v>3</v>
      </c>
      <c r="AP59" s="1164">
        <v>11</v>
      </c>
      <c r="AQ59" s="1164">
        <v>0</v>
      </c>
      <c r="AR59" s="1164">
        <v>4</v>
      </c>
      <c r="AS59" s="1164">
        <v>115</v>
      </c>
      <c r="AT59" s="520">
        <v>10</v>
      </c>
      <c r="AU59" s="520">
        <v>10</v>
      </c>
      <c r="AV59" s="520">
        <v>10</v>
      </c>
      <c r="AW59" s="520">
        <v>10</v>
      </c>
      <c r="AX59" s="520">
        <v>10</v>
      </c>
      <c r="AY59" s="1164">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D7A891-0851-42E1-4EAA-0.F3BB1727}"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4.140625" hidden="1" customWidth="1"/>
    <col min="10" max="10" style="1375" width="9.8515625" hidden="1" customWidth="1"/>
    <col min="11" max="11" style="1375" width="14.7109375" hidden="1" customWidth="1"/>
    <col min="12" max="12" style="2635" width="19.140625" hidden="1" customWidth="1"/>
    <col min="13" max="14" style="1784" width="12.28125" hidden="1" customWidth="1"/>
    <col min="15" max="15" style="1784" width="23.421875" hidden="1" customWidth="1"/>
    <col min="16" max="16" style="2425" width="3.00390625" customWidth="1"/>
    <col min="17" max="18" style="353" width="3.00390625" customWidth="1"/>
    <col min="19" max="19" style="2435" width="12.00390625" customWidth="1"/>
    <col min="20" max="20" style="1644" width="35.00390625" customWidth="1"/>
    <col min="21" max="21" style="1644" width="0.140625" customWidth="1"/>
    <col min="22" max="28" style="1644" width="19.7109375" hidden="1" customWidth="1"/>
    <col min="29" max="29" style="1644" width="11.7109375" hidden="1" customWidth="1"/>
    <col min="30" max="30" style="1644" width="3.7109375" hidden="1" customWidth="1"/>
    <col min="31" max="31" style="1644" width="11.7109375" hidden="1" customWidth="1"/>
    <col min="32" max="32" style="1644" width="8.57421875" hidden="1" customWidth="1"/>
    <col min="33" max="33" style="1644" width="19.7109375" customWidth="1"/>
    <col min="34" max="39" style="1644" width="19.00390625" customWidth="1"/>
    <col min="40" max="40" style="1644" width="11.00390625" customWidth="1"/>
    <col min="41" max="41" style="1644" width="3.7109375" customWidth="1"/>
    <col min="42" max="42" style="1644" width="11.00390625" customWidth="1"/>
    <col min="43" max="43" style="1644" width="8.57421875" hidden="1" customWidth="1"/>
    <col min="44" max="44" style="1644" width="4.00390625" customWidth="1"/>
    <col min="45" max="45" style="1644" width="115.00390625" customWidth="1"/>
    <col min="46" max="50" style="1651" width="10.00390625" customWidth="1"/>
    <col min="51" max="51" style="1644" width="10.57421875" hidden="1"/>
  </cols>
  <sheetData>
    <row customHeight="1" ht="22.5" hidden="1">
      <c r="AB1" s="336"/>
      <c r="AC1" s="336"/>
      <c r="AM1" s="336"/>
      <c r="AN1" s="336"/>
      <c r="AY1" s="1164" t="s">
        <v>14</v>
      </c>
    </row>
    <row customHeight="1" ht="23.25" hidden="1">
      <c r="A2" s="1372"/>
      <c r="B2" s="1372"/>
      <c r="C2" s="1372"/>
      <c r="D2" s="1372"/>
      <c r="E2" s="2286">
        <v>1</v>
      </c>
      <c r="F2" s="1372"/>
      <c r="G2" s="1372"/>
      <c r="H2" s="1372"/>
      <c r="I2" s="1372"/>
      <c r="J2" s="1372"/>
      <c r="K2" s="1372"/>
      <c r="L2" s="1373"/>
      <c r="M2" s="1374"/>
      <c r="N2" s="1374"/>
      <c r="O2" s="1374"/>
      <c r="P2" s="370"/>
      <c r="Q2" s="369"/>
      <c r="R2" s="364"/>
      <c r="S2" s="1502">
        <f>INDEX(PT_DIFFERENTIATION_NUM_NTAR,MATCH(A2,PT_DIFFERENTIATION_NTAR_ID,0))</f>
      </c>
      <c r="T2" s="307" t="s">
        <v>140</v>
      </c>
      <c r="U2" s="309"/>
      <c r="V2" s="2270"/>
      <c r="W2" s="2271"/>
      <c r="X2" s="2271"/>
      <c r="Y2" s="2271"/>
      <c r="Z2" s="2271"/>
      <c r="AA2" s="2271"/>
      <c r="AB2" s="2271"/>
      <c r="AC2" s="2271"/>
      <c r="AD2" s="2271"/>
      <c r="AE2" s="2271"/>
      <c r="AF2" s="2272"/>
      <c r="AG2" s="2270">
        <f>INDEX(PT_DIFFERENTIATION_NTAR,MATCH(A2,PT_DIFFERENTIATION_NTAR_ID,0))</f>
      </c>
      <c r="AH2" s="2271"/>
      <c r="AI2" s="2271"/>
      <c r="AJ2" s="2271"/>
      <c r="AK2" s="2271"/>
      <c r="AL2" s="2271"/>
      <c r="AM2" s="2271"/>
      <c r="AN2" s="2271"/>
      <c r="AO2" s="2271"/>
      <c r="AP2" s="2271"/>
      <c r="AQ2" s="2271"/>
      <c r="AR2" s="2272"/>
      <c r="AS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9"/>
      <c r="AV2" s="509" t="str">
        <f>IF(T2="","",T2)</f>
        <v>Наименование тарифа</v>
      </c>
      <c r="AW2" s="509"/>
      <c r="AX2" s="509"/>
      <c r="AY2" s="1164">
        <v>0</v>
      </c>
    </row>
    <row customHeight="1" ht="23.25" hidden="1">
      <c r="A3" s="1372"/>
      <c r="B3" s="1372"/>
      <c r="C3" s="1372"/>
      <c r="D3" s="1372"/>
      <c r="E3" s="2287"/>
      <c r="F3" s="2286">
        <v>1</v>
      </c>
      <c r="G3" s="1372"/>
      <c r="H3" s="1372"/>
      <c r="I3" s="1372"/>
      <c r="J3" s="1372"/>
      <c r="K3" s="1372"/>
      <c r="L3" s="1373"/>
      <c r="M3" s="1374"/>
      <c r="N3" s="1374"/>
      <c r="O3" s="1374"/>
      <c r="P3" s="1496"/>
      <c r="Q3" s="361"/>
      <c r="R3" s="362"/>
      <c r="S3" s="1502">
        <f>INDEX(PT_DIFFERENTIATION_NUM_TER,MATCH(B3,PT_DIFFERENTIATION_TER_ID,0))</f>
      </c>
      <c r="T3" s="317" t="s">
        <v>412</v>
      </c>
      <c r="U3" s="309"/>
      <c r="V3" s="2270"/>
      <c r="W3" s="2271"/>
      <c r="X3" s="2271"/>
      <c r="Y3" s="2271"/>
      <c r="Z3" s="2271"/>
      <c r="AA3" s="2271"/>
      <c r="AB3" s="2271"/>
      <c r="AC3" s="2271"/>
      <c r="AD3" s="2271"/>
      <c r="AE3" s="2271"/>
      <c r="AF3" s="2272"/>
      <c r="AG3" s="2270">
        <f>INDEX(PT_DIFFERENTIATION_TER,MATCH(B3,PT_DIFFERENTIATION_TER_ID,0))</f>
      </c>
      <c r="AH3" s="2271"/>
      <c r="AI3" s="2271"/>
      <c r="AJ3" s="2271"/>
      <c r="AK3" s="2271"/>
      <c r="AL3" s="2271"/>
      <c r="AM3" s="2271"/>
      <c r="AN3" s="2271"/>
      <c r="AO3" s="2271"/>
      <c r="AP3" s="2271"/>
      <c r="AQ3" s="2271"/>
      <c r="AR3" s="2272"/>
      <c r="AS3" s="1267" t="s">
        <v>413</v>
      </c>
      <c r="AU3" s="509"/>
      <c r="AV3" s="509" t="str">
        <f>IF(T3="","",T3)</f>
        <v>Территория действия тарифа</v>
      </c>
      <c r="AW3" s="509"/>
      <c r="AX3" s="509"/>
      <c r="AY3" s="1164">
        <v>0</v>
      </c>
    </row>
    <row customHeight="1" ht="23.25" hidden="1">
      <c r="A4" s="1372"/>
      <c r="B4" s="1372"/>
      <c r="C4" s="1372"/>
      <c r="D4" s="1372"/>
      <c r="E4" s="2287"/>
      <c r="F4" s="2287"/>
      <c r="G4" s="2286">
        <v>1</v>
      </c>
      <c r="H4" s="1372"/>
      <c r="I4" s="1372"/>
      <c r="J4" s="1372"/>
      <c r="K4" s="1372"/>
      <c r="L4" s="1373"/>
      <c r="M4" s="1374"/>
      <c r="N4" s="1374"/>
      <c r="O4" s="1374"/>
      <c r="P4" s="363"/>
      <c r="Q4" s="361"/>
      <c r="R4" s="362"/>
      <c r="S4" s="1502">
        <f>INDEX(PT_DIFFERENTIATION_NUM_CS,MATCH(C4,PT_DIFFERENTIATION_CS_ID,0))</f>
      </c>
      <c r="T4" s="318" t="s">
        <v>543</v>
      </c>
      <c r="U4" s="309"/>
      <c r="V4" s="2270"/>
      <c r="W4" s="2271"/>
      <c r="X4" s="2271"/>
      <c r="Y4" s="2271"/>
      <c r="Z4" s="2271"/>
      <c r="AA4" s="2271"/>
      <c r="AB4" s="2271"/>
      <c r="AC4" s="2271"/>
      <c r="AD4" s="2271"/>
      <c r="AE4" s="2271"/>
      <c r="AF4" s="2272"/>
      <c r="AG4" s="2270">
        <f>INDEX(PT_DIFFERENTIATION_CS,MATCH(C4,PT_DIFFERENTIATION_CS_ID,0))</f>
      </c>
      <c r="AH4" s="2271"/>
      <c r="AI4" s="2271"/>
      <c r="AJ4" s="2271"/>
      <c r="AK4" s="2271"/>
      <c r="AL4" s="2271"/>
      <c r="AM4" s="2271"/>
      <c r="AN4" s="2271"/>
      <c r="AO4" s="2271"/>
      <c r="AP4" s="2271"/>
      <c r="AQ4" s="2271"/>
      <c r="AR4" s="2272"/>
      <c r="AS4" s="1267" t="s">
        <v>544</v>
      </c>
      <c r="AU4" s="509"/>
      <c r="AV4" s="509" t="str">
        <f>IF(T4="","",T4)</f>
        <v>Наименование централизованной системы горячего водоснабжения</v>
      </c>
      <c r="AW4" s="509"/>
      <c r="AX4" s="509"/>
      <c r="AY4" s="1164">
        <v>0</v>
      </c>
    </row>
    <row customHeight="1" ht="23.25" hidden="1">
      <c r="A5" s="1372"/>
      <c r="B5" s="1372"/>
      <c r="C5" s="1372"/>
      <c r="D5" s="1372"/>
      <c r="E5" s="2287"/>
      <c r="F5" s="2287"/>
      <c r="G5" s="2287"/>
      <c r="H5" s="2287"/>
      <c r="I5" s="2284">
        <f>S4&amp;".1"</f>
      </c>
      <c r="J5" s="1372"/>
      <c r="K5" s="1372"/>
      <c r="L5" s="1373"/>
      <c r="P5" s="2285">
        <v>1</v>
      </c>
      <c r="Q5" s="1490"/>
      <c r="R5" s="365"/>
      <c r="S5" s="1502">
        <f>$I5</f>
      </c>
      <c r="T5" s="294" t="s">
        <v>496</v>
      </c>
      <c r="U5" s="309"/>
      <c r="V5" s="2378"/>
      <c r="W5" s="2379"/>
      <c r="X5" s="2379"/>
      <c r="Y5" s="2379"/>
      <c r="Z5" s="2379"/>
      <c r="AA5" s="2379"/>
      <c r="AB5" s="2379"/>
      <c r="AC5" s="2379"/>
      <c r="AD5" s="2379"/>
      <c r="AE5" s="2379"/>
      <c r="AF5" s="2380"/>
      <c r="AG5" s="2381"/>
      <c r="AH5" s="2382"/>
      <c r="AI5" s="2382"/>
      <c r="AJ5" s="2382"/>
      <c r="AK5" s="2382"/>
      <c r="AL5" s="2382"/>
      <c r="AM5" s="2382"/>
      <c r="AN5" s="2382"/>
      <c r="AO5" s="2382"/>
      <c r="AP5" s="2382"/>
      <c r="AQ5" s="2382"/>
      <c r="AR5" s="2383"/>
      <c r="AS5" s="1267" t="s">
        <v>497</v>
      </c>
      <c r="AU5" s="509"/>
      <c r="AV5" s="509" t="str">
        <f>IF(T5="","",T5)</f>
        <v>Наименование признака дифференциации</v>
      </c>
      <c r="AW5" s="509"/>
      <c r="AX5" s="509"/>
      <c r="AY5" s="1164">
        <v>0</v>
      </c>
    </row>
    <row customHeight="1" ht="23.25" hidden="1">
      <c r="A6" s="1372"/>
      <c r="B6" s="1372"/>
      <c r="C6" s="1372"/>
      <c r="D6" s="1372"/>
      <c r="E6" s="2287"/>
      <c r="F6" s="2287"/>
      <c r="G6" s="2287"/>
      <c r="H6" s="2287"/>
      <c r="I6" s="2314"/>
      <c r="J6" s="2284">
        <f>I5&amp;".1"</f>
      </c>
      <c r="K6" s="1372"/>
      <c r="L6" s="1373" t="s">
        <v>421</v>
      </c>
      <c r="P6" s="2285"/>
      <c r="Q6" s="2285">
        <v>1</v>
      </c>
      <c r="R6" s="366"/>
      <c r="S6" s="1502">
        <f>$J6</f>
      </c>
      <c r="T6" s="295" t="s">
        <v>422</v>
      </c>
      <c r="U6" s="309"/>
      <c r="V6" s="2273"/>
      <c r="W6" s="2274"/>
      <c r="X6" s="2274"/>
      <c r="Y6" s="2274"/>
      <c r="Z6" s="2274"/>
      <c r="AA6" s="2274"/>
      <c r="AB6" s="2274"/>
      <c r="AC6" s="2274"/>
      <c r="AD6" s="2274"/>
      <c r="AE6" s="2274"/>
      <c r="AF6" s="2275"/>
      <c r="AG6" s="2273"/>
      <c r="AH6" s="2274"/>
      <c r="AI6" s="2274"/>
      <c r="AJ6" s="2274"/>
      <c r="AK6" s="2274"/>
      <c r="AL6" s="2274"/>
      <c r="AM6" s="2274"/>
      <c r="AN6" s="2274"/>
      <c r="AO6" s="2274"/>
      <c r="AP6" s="2274"/>
      <c r="AQ6" s="2274"/>
      <c r="AR6" s="2275"/>
      <c r="AS6" s="1316" t="s">
        <v>498</v>
      </c>
      <c r="AU6" s="509"/>
      <c r="AV6" s="509" t="str">
        <f>IF(T6="","",T6)</f>
        <v>Группа потребителей</v>
      </c>
      <c r="AW6" s="509"/>
      <c r="AX6" s="509"/>
      <c r="AY6" s="1164">
        <v>0</v>
      </c>
    </row>
    <row customHeight="1" ht="23.25" hidden="1">
      <c r="A7" s="1372"/>
      <c r="B7" s="1372"/>
      <c r="C7" s="1372"/>
      <c r="D7" s="1372"/>
      <c r="E7" s="2287"/>
      <c r="F7" s="2287"/>
      <c r="G7" s="2287"/>
      <c r="H7" s="2287"/>
      <c r="I7" s="2314"/>
      <c r="J7" s="2314"/>
      <c r="K7" s="2284">
        <f>J6&amp;".1"</f>
      </c>
      <c r="L7" s="1373"/>
      <c r="P7" s="2285"/>
      <c r="Q7" s="2285"/>
      <c r="R7" s="366">
        <v>1</v>
      </c>
      <c r="S7" s="1502">
        <f>$K7</f>
      </c>
      <c r="T7" s="1446"/>
      <c r="U7" s="309"/>
      <c r="V7" s="760"/>
      <c r="W7" s="760"/>
      <c r="X7" s="760"/>
      <c r="Y7" s="760"/>
      <c r="Z7" s="760"/>
      <c r="AA7" s="760"/>
      <c r="AB7" s="1266"/>
      <c r="AC7" s="2293"/>
      <c r="AD7" s="2135" t="s">
        <v>63</v>
      </c>
      <c r="AE7" s="2293"/>
      <c r="AF7" s="2135" t="s">
        <v>63</v>
      </c>
      <c r="AG7" s="760"/>
      <c r="AH7" s="760"/>
      <c r="AI7" s="760"/>
      <c r="AJ7" s="760"/>
      <c r="AK7" s="760"/>
      <c r="AL7" s="760"/>
      <c r="AM7" s="1266"/>
      <c r="AN7" s="2293"/>
      <c r="AO7" s="2135" t="s">
        <v>63</v>
      </c>
      <c r="AP7" s="2315"/>
      <c r="AQ7" s="2135" t="s">
        <v>63</v>
      </c>
      <c r="AR7" s="1447"/>
      <c r="AS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20">
        <f>STRCHECKDATE(V8:AR8)</f>
      </c>
      <c r="AU7" s="509"/>
      <c r="AV7" s="509" t="str">
        <f>IF(T7="","",T7)</f>
        <v/>
      </c>
      <c r="AW7" s="509"/>
      <c r="AX7" s="509"/>
      <c r="AY7" s="1164">
        <v>0</v>
      </c>
    </row>
    <row customHeight="1" ht="14.25" hidden="1">
      <c r="A8" s="1372"/>
      <c r="B8" s="1372"/>
      <c r="C8" s="1372"/>
      <c r="D8" s="1372"/>
      <c r="E8" s="2287"/>
      <c r="F8" s="2287"/>
      <c r="G8" s="2287"/>
      <c r="H8" s="2287"/>
      <c r="I8" s="2314"/>
      <c r="J8" s="2314"/>
      <c r="K8" s="2284"/>
      <c r="L8" s="1373"/>
      <c r="P8" s="2285"/>
      <c r="Q8" s="2285"/>
      <c r="R8" s="366"/>
      <c r="S8" s="1499"/>
      <c r="T8" s="309"/>
      <c r="U8" s="309"/>
      <c r="V8" s="334"/>
      <c r="W8" s="334"/>
      <c r="X8" s="334"/>
      <c r="Y8" s="334"/>
      <c r="Z8" s="334"/>
      <c r="AA8" s="334"/>
      <c r="AB8" s="337" t="str">
        <f>AC7&amp;"-"&amp;AE7</f>
        <v>-</v>
      </c>
      <c r="AC8" s="2294"/>
      <c r="AD8" s="2135"/>
      <c r="AE8" s="2294"/>
      <c r="AF8" s="2135"/>
      <c r="AG8" s="334"/>
      <c r="AH8" s="334"/>
      <c r="AI8" s="334"/>
      <c r="AJ8" s="334"/>
      <c r="AK8" s="334"/>
      <c r="AL8" s="334"/>
      <c r="AM8" s="337" t="str">
        <f>AN7&amp;"-"&amp;AP7</f>
        <v>-</v>
      </c>
      <c r="AN8" s="2294"/>
      <c r="AO8" s="2135"/>
      <c r="AP8" s="2316"/>
      <c r="AQ8" s="2135"/>
      <c r="AR8" s="1448"/>
      <c r="AS8" s="2377"/>
      <c r="AU8" s="509"/>
      <c r="AV8" s="509" t="str">
        <f>IF(T8="","",T8)</f>
        <v/>
      </c>
      <c r="AW8" s="509"/>
      <c r="AX8" s="509"/>
      <c r="AY8" s="1164">
        <v>0</v>
      </c>
    </row>
    <row customHeight="1" ht="21" hidden="1">
      <c r="A9" s="1372"/>
      <c r="B9" s="1372"/>
      <c r="C9" s="1372"/>
      <c r="D9" s="1372"/>
      <c r="E9" s="2287"/>
      <c r="F9" s="2287"/>
      <c r="G9" s="2287"/>
      <c r="H9" s="2287"/>
      <c r="I9" s="2314"/>
      <c r="J9" s="2284"/>
      <c r="K9" s="1372"/>
      <c r="L9" s="1373"/>
      <c r="P9" s="2285"/>
      <c r="Q9" s="2285"/>
      <c r="R9" s="365"/>
      <c r="S9" s="1287"/>
      <c r="T9" s="296" t="s">
        <v>499</v>
      </c>
      <c r="U9" s="376"/>
      <c r="V9" s="376"/>
      <c r="W9" s="609"/>
      <c r="X9" s="609"/>
      <c r="Y9" s="609"/>
      <c r="Z9" s="609"/>
      <c r="AA9" s="609"/>
      <c r="AB9" s="376"/>
      <c r="AC9" s="376"/>
      <c r="AD9" s="376"/>
      <c r="AE9" s="376"/>
      <c r="AF9" s="376"/>
      <c r="AG9" s="376"/>
      <c r="AH9" s="609"/>
      <c r="AI9" s="609"/>
      <c r="AJ9" s="609"/>
      <c r="AK9" s="609"/>
      <c r="AL9" s="609"/>
      <c r="AM9" s="376"/>
      <c r="AN9" s="376"/>
      <c r="AO9" s="376"/>
      <c r="AP9" s="376"/>
      <c r="AQ9" s="376"/>
      <c r="AR9" s="376"/>
      <c r="AS9" s="1267" t="s">
        <v>500</v>
      </c>
      <c r="AU9" s="509"/>
      <c r="AV9" s="509" t="str">
        <f>IF(T9="","",T9)</f>
        <v>Добавить значение признака дифференциации</v>
      </c>
      <c r="AW9" s="509"/>
      <c r="AX9" s="509"/>
      <c r="AY9" s="1164">
        <v>0</v>
      </c>
    </row>
    <row customHeight="1" ht="21" hidden="1">
      <c r="A10" s="1372"/>
      <c r="B10" s="1372"/>
      <c r="C10" s="1372"/>
      <c r="D10" s="1372"/>
      <c r="E10" s="2287"/>
      <c r="F10" s="2287"/>
      <c r="G10" s="2287"/>
      <c r="H10" s="2287"/>
      <c r="I10" s="2284"/>
      <c r="J10" s="1372"/>
      <c r="K10" s="1372"/>
      <c r="L10" s="1373"/>
      <c r="P10" s="2285"/>
      <c r="Q10" s="1490"/>
      <c r="R10" s="365"/>
      <c r="S10" s="1287"/>
      <c r="T10" s="374" t="s">
        <v>427</v>
      </c>
      <c r="U10" s="376"/>
      <c r="V10" s="376"/>
      <c r="W10" s="609"/>
      <c r="X10" s="609"/>
      <c r="Y10" s="609"/>
      <c r="Z10" s="609"/>
      <c r="AA10" s="609"/>
      <c r="AB10" s="376"/>
      <c r="AC10" s="376"/>
      <c r="AD10" s="376"/>
      <c r="AE10" s="376"/>
      <c r="AF10" s="375"/>
      <c r="AG10" s="376"/>
      <c r="AH10" s="609"/>
      <c r="AI10" s="609"/>
      <c r="AJ10" s="609"/>
      <c r="AK10" s="609"/>
      <c r="AL10" s="609"/>
      <c r="AM10" s="376"/>
      <c r="AN10" s="376"/>
      <c r="AO10" s="376"/>
      <c r="AP10" s="376"/>
      <c r="AQ10" s="375"/>
      <c r="AR10" s="376"/>
      <c r="AS10" s="1449"/>
      <c r="AU10" s="509"/>
      <c r="AV10" s="509" t="str">
        <f>IF(T10="","",T10)</f>
        <v>Добавить группу потребителей</v>
      </c>
      <c r="AW10" s="509"/>
      <c r="AX10" s="509"/>
      <c r="AY10" s="1164">
        <v>0</v>
      </c>
    </row>
    <row customHeight="1" ht="21" hidden="1">
      <c r="A11" s="1372"/>
      <c r="B11" s="1372"/>
      <c r="C11" s="1372"/>
      <c r="D11" s="1372"/>
      <c r="E11" s="2287"/>
      <c r="F11" s="2287"/>
      <c r="G11" s="2287"/>
      <c r="H11" s="2286"/>
      <c r="I11" s="1372"/>
      <c r="J11" s="1372"/>
      <c r="K11" s="1372"/>
      <c r="L11" s="1373"/>
      <c r="M11" s="1374"/>
      <c r="N11" s="1374"/>
      <c r="O11" s="546"/>
      <c r="P11" s="369"/>
      <c r="Q11" s="384"/>
      <c r="R11" s="364"/>
      <c r="S11" s="1287"/>
      <c r="T11" s="381" t="s">
        <v>501</v>
      </c>
      <c r="U11" s="376"/>
      <c r="V11" s="376"/>
      <c r="W11" s="609"/>
      <c r="X11" s="609"/>
      <c r="Y11" s="609"/>
      <c r="Z11" s="609"/>
      <c r="AA11" s="609"/>
      <c r="AB11" s="376"/>
      <c r="AC11" s="376"/>
      <c r="AD11" s="376"/>
      <c r="AE11" s="376"/>
      <c r="AF11" s="375"/>
      <c r="AG11" s="376"/>
      <c r="AH11" s="609"/>
      <c r="AI11" s="609"/>
      <c r="AJ11" s="609"/>
      <c r="AK11" s="609"/>
      <c r="AL11" s="609"/>
      <c r="AM11" s="376"/>
      <c r="AN11" s="376"/>
      <c r="AO11" s="376"/>
      <c r="AP11" s="376"/>
      <c r="AQ11" s="375"/>
      <c r="AR11" s="376"/>
      <c r="AS11" s="312"/>
      <c r="AU11" s="509"/>
      <c r="AV11" s="509" t="str">
        <f>IF(T11="","",T11)</f>
        <v>Добавить наименование признака дифференциации</v>
      </c>
      <c r="AW11" s="509"/>
      <c r="AX11" s="509"/>
      <c r="AY11" s="1164">
        <v>0</v>
      </c>
    </row>
    <row s="1651" customFormat="1" customHeight="1" ht="14.25" hidden="1">
      <c r="A12" s="1352"/>
      <c r="B12" s="1352"/>
      <c r="C12" s="1323"/>
      <c r="D12" s="1323"/>
      <c r="E12" s="2287"/>
      <c r="F12" s="2286"/>
      <c r="G12" s="1323"/>
      <c r="H12" s="1323"/>
      <c r="I12" s="1323"/>
      <c r="J12" s="1323"/>
      <c r="K12" s="1323"/>
      <c r="L12" s="1503"/>
      <c r="M12" s="1330"/>
      <c r="N12" s="1330"/>
      <c r="P12" s="1325"/>
      <c r="Q12" s="1326"/>
      <c r="R12" s="1325"/>
      <c r="S12" s="1331"/>
      <c r="T12" s="1334" t="s">
        <v>430</v>
      </c>
      <c r="U12" s="1333"/>
      <c r="V12" s="1333"/>
      <c r="W12" s="1333"/>
      <c r="X12" s="1333"/>
      <c r="Y12" s="1333"/>
      <c r="Z12" s="1333"/>
      <c r="AA12" s="1333"/>
      <c r="AB12" s="1333"/>
      <c r="AC12" s="1333"/>
      <c r="AD12" s="1333"/>
      <c r="AE12" s="1333"/>
      <c r="AF12" s="1333"/>
      <c r="AG12" s="1333"/>
      <c r="AH12" s="1333"/>
      <c r="AI12" s="1333"/>
      <c r="AJ12" s="1333"/>
      <c r="AK12" s="1333"/>
      <c r="AL12" s="1333"/>
      <c r="AM12" s="1333"/>
      <c r="AN12" s="1333"/>
      <c r="AO12" s="1333"/>
      <c r="AP12" s="1333"/>
      <c r="AQ12" s="1333"/>
      <c r="AR12" s="1333"/>
      <c r="AS12" s="1333"/>
      <c r="AU12" s="798"/>
      <c r="AV12" s="798" t="str">
        <f>IF(T12="","",T12)</f>
        <v>Добавить централизованную систему для дифференциации</v>
      </c>
      <c r="AW12" s="798"/>
      <c r="AX12" s="798"/>
      <c r="AY12" s="527">
        <v>0</v>
      </c>
    </row>
    <row s="1651" customFormat="1" customHeight="1" ht="14.25" hidden="1">
      <c r="A13" s="1352"/>
      <c r="B13" s="1352"/>
      <c r="C13" s="1352"/>
      <c r="D13" s="1352"/>
      <c r="E13" s="2286"/>
      <c r="F13" s="1352"/>
      <c r="G13" s="1352"/>
      <c r="H13" s="1352"/>
      <c r="I13" s="1352"/>
      <c r="J13" s="1352"/>
      <c r="K13" s="1352"/>
      <c r="L13" s="1355"/>
      <c r="M13" s="1330"/>
      <c r="N13" s="1330"/>
      <c r="O13" s="527"/>
      <c r="P13" s="389"/>
      <c r="Q13" s="1353"/>
      <c r="R13" s="389"/>
      <c r="S13" s="1331"/>
      <c r="T13" s="1334" t="s">
        <v>431</v>
      </c>
      <c r="U13" s="1333"/>
      <c r="V13" s="1333"/>
      <c r="W13" s="1333"/>
      <c r="X13" s="1333"/>
      <c r="Y13" s="1333"/>
      <c r="Z13" s="1333"/>
      <c r="AA13" s="1333"/>
      <c r="AB13" s="1333"/>
      <c r="AC13" s="1333"/>
      <c r="AD13" s="1333"/>
      <c r="AE13" s="1333"/>
      <c r="AF13" s="1333"/>
      <c r="AG13" s="1333"/>
      <c r="AH13" s="1333"/>
      <c r="AI13" s="1333"/>
      <c r="AJ13" s="1333"/>
      <c r="AK13" s="1333"/>
      <c r="AL13" s="1333"/>
      <c r="AM13" s="1333"/>
      <c r="AN13" s="1333"/>
      <c r="AO13" s="1333"/>
      <c r="AP13" s="1333"/>
      <c r="AQ13" s="1333"/>
      <c r="AR13" s="1333"/>
      <c r="AS13" s="1333"/>
      <c r="AU13" s="509"/>
      <c r="AV13" s="509" t="str">
        <f>IF(T13="","",T13)</f>
        <v>Добавить территорию для дифференциации</v>
      </c>
      <c r="AW13" s="509"/>
      <c r="AX13" s="509"/>
      <c r="AY13" s="520">
        <v>0</v>
      </c>
    </row>
    <row customHeight="1" ht="14.25" hidden="1">
      <c r="AF14" s="336"/>
      <c r="AQ14" s="336"/>
      <c r="AY14" s="1164">
        <v>0</v>
      </c>
    </row>
    <row customHeight="1" ht="14.25" hidden="1">
      <c r="AG15" s="1369"/>
      <c r="AH15" s="1369"/>
      <c r="AI15" s="1369"/>
      <c r="AJ15" s="1369"/>
      <c r="AK15" s="1369"/>
      <c r="AL15" s="1369"/>
      <c r="AM15" s="1370"/>
      <c r="AN15" s="2295"/>
      <c r="AO15" s="2296" t="s">
        <v>63</v>
      </c>
      <c r="AP15" s="2295"/>
      <c r="AQ15" s="2296" t="s">
        <v>63</v>
      </c>
      <c r="AY15" s="1164">
        <v>0</v>
      </c>
    </row>
    <row customHeight="1" ht="14.25" hidden="1">
      <c r="AG16" s="1369"/>
      <c r="AH16" s="1369"/>
      <c r="AI16" s="1369"/>
      <c r="AJ16" s="1369"/>
      <c r="AK16" s="1369"/>
      <c r="AL16" s="1369"/>
      <c r="AM16" s="337" t="str">
        <f>AN15&amp;"-"&amp;AP15</f>
        <v>-</v>
      </c>
      <c r="AN16" s="2296"/>
      <c r="AO16" s="2296"/>
      <c r="AP16" s="2296"/>
      <c r="AQ16" s="2296"/>
      <c r="AY16" s="1164">
        <v>0</v>
      </c>
    </row>
    <row customHeight="1" ht="14.25" hidden="1">
      <c r="AQ17" s="336"/>
      <c r="AY17" s="1164">
        <v>0</v>
      </c>
    </row>
    <row s="1375" customFormat="1" customHeight="1" ht="22.5" hidden="1">
      <c r="L18" s="1487"/>
      <c r="M18" s="1371"/>
      <c r="N18" s="1371"/>
      <c r="O18" s="1376" t="s">
        <v>432</v>
      </c>
      <c r="P18" s="1371"/>
      <c r="Q18" s="1380"/>
      <c r="R18" s="1380"/>
      <c r="S18" s="738"/>
      <c r="W18" s="1375"/>
      <c r="X18" s="1375"/>
      <c r="Y18" s="1375"/>
      <c r="Z18" s="1375"/>
      <c r="AA18" s="1375"/>
      <c r="AC18" s="1376"/>
      <c r="AE18" s="1376"/>
      <c r="AF18" s="1375"/>
      <c r="AH18" s="1375"/>
      <c r="AI18" s="1375"/>
      <c r="AJ18" s="1375"/>
      <c r="AK18" s="1375"/>
      <c r="AL18" s="1375"/>
      <c r="AN18" s="1376"/>
      <c r="AP18" s="1376"/>
      <c r="AQ18" s="1375"/>
      <c r="AT18" s="520"/>
      <c r="AU18" s="520"/>
      <c r="AV18" s="520"/>
      <c r="AW18" s="520"/>
      <c r="AX18" s="520"/>
      <c r="AY18" s="1169">
        <v>0</v>
      </c>
    </row>
    <row s="1375" customFormat="1" customHeight="1" ht="14.25" hidden="1">
      <c r="L19" s="1487"/>
      <c r="M19" s="1371"/>
      <c r="N19" s="1371"/>
      <c r="O19" s="1371"/>
      <c r="P19" s="1371"/>
      <c r="Q19" s="1380"/>
      <c r="R19" s="1380"/>
      <c r="S19" s="738"/>
      <c r="W19" s="1375"/>
      <c r="X19" s="1375"/>
      <c r="Y19" s="1375"/>
      <c r="Z19" s="1375"/>
      <c r="AA19" s="1375"/>
      <c r="AF19" s="1375"/>
      <c r="AH19" s="1375"/>
      <c r="AI19" s="1375"/>
      <c r="AJ19" s="1375"/>
      <c r="AK19" s="1375"/>
      <c r="AL19" s="1375"/>
      <c r="AQ19" s="1375"/>
      <c r="AT19" s="520"/>
      <c r="AU19" s="520"/>
      <c r="AV19" s="520"/>
      <c r="AW19" s="520"/>
      <c r="AX19" s="520"/>
      <c r="AY19" s="1169">
        <v>0</v>
      </c>
    </row>
    <row s="1375" customFormat="1" customHeight="1" ht="12" hidden="1">
      <c r="L20" s="1487"/>
      <c r="M20" s="1371"/>
      <c r="N20" s="1371"/>
      <c r="O20" s="1373" t="s">
        <v>433</v>
      </c>
      <c r="P20" s="1371"/>
      <c r="Q20" s="1451"/>
      <c r="R20" s="1451"/>
      <c r="S20" s="738"/>
      <c r="T20" s="1169" t="s">
        <v>434</v>
      </c>
      <c r="W20" s="1375"/>
      <c r="X20" s="1375"/>
      <c r="Y20" s="1375"/>
      <c r="Z20" s="1375"/>
      <c r="AA20" s="1375"/>
      <c r="AD20" s="195" t="s">
        <v>435</v>
      </c>
      <c r="AF20" s="195" t="s">
        <v>436</v>
      </c>
      <c r="AG20" s="1169" t="s">
        <v>434</v>
      </c>
      <c r="AH20" s="1375"/>
      <c r="AI20" s="1375"/>
      <c r="AJ20" s="1375"/>
      <c r="AK20" s="1375"/>
      <c r="AL20" s="1375"/>
      <c r="AO20" s="195" t="s">
        <v>437</v>
      </c>
      <c r="AQ20" s="195" t="s">
        <v>436</v>
      </c>
      <c r="AY20" s="1169">
        <v>0</v>
      </c>
    </row>
    <row customHeight="1" ht="14.25" hidden="1">
      <c r="O21" s="1373"/>
      <c r="AY21" s="1164">
        <v>0</v>
      </c>
    </row>
    <row customHeight="1" ht="14.25" hidden="1">
      <c r="O22" s="1373"/>
      <c r="AY22" s="1164">
        <v>0</v>
      </c>
    </row>
    <row customHeight="1" ht="14.699999999999998">
      <c r="Q23" s="385"/>
      <c r="R23" s="385"/>
      <c r="S23" s="1284"/>
      <c r="T23" s="372"/>
      <c r="U23" s="372"/>
      <c r="V23" s="518"/>
      <c r="W23" s="1644"/>
      <c r="X23" s="1644"/>
      <c r="Y23" s="1644"/>
      <c r="Z23" s="1644"/>
      <c r="AA23" s="1644"/>
      <c r="AB23" s="518"/>
      <c r="AC23" s="518"/>
      <c r="AD23" s="518"/>
      <c r="AE23" s="518"/>
      <c r="AF23" s="518"/>
      <c r="AG23" s="518"/>
      <c r="AH23" s="1644"/>
      <c r="AI23" s="1644"/>
      <c r="AJ23" s="1644"/>
      <c r="AK23" s="1644"/>
      <c r="AL23" s="1644"/>
      <c r="AM23" s="518"/>
      <c r="AN23" s="518"/>
      <c r="AO23" s="518"/>
      <c r="AP23" s="518"/>
      <c r="AQ23" s="518"/>
      <c r="AY23" s="1164">
        <v>14</v>
      </c>
    </row>
    <row customHeight="1" ht="26.25">
      <c r="Q24" s="385"/>
      <c r="R24" s="385"/>
      <c r="S24" s="227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1252"/>
      <c r="AY24" s="1164">
        <v>25</v>
      </c>
    </row>
    <row customHeight="1" ht="14.699999999999998">
      <c r="Q25" s="385"/>
      <c r="R25" s="385"/>
      <c r="S25" s="2277" t="str">
        <f>IF(org=0,"Не определено",org)</f>
        <v>АО "ДГК"</v>
      </c>
      <c r="T25" s="2277"/>
      <c r="U25" s="2277"/>
      <c r="V25" s="2277"/>
      <c r="W25" s="2277"/>
      <c r="X25" s="2277"/>
      <c r="Y25" s="2277"/>
      <c r="Z25" s="2277"/>
      <c r="AA25" s="2277"/>
      <c r="AB25" s="2277"/>
      <c r="AC25" s="2277"/>
      <c r="AD25" s="2277"/>
      <c r="AE25" s="2277"/>
      <c r="AF25" s="2277"/>
      <c r="AG25" s="2277"/>
      <c r="AH25" s="2277"/>
      <c r="AI25" s="2277"/>
      <c r="AJ25" s="2277"/>
      <c r="AK25" s="2277"/>
      <c r="AL25" s="2277"/>
      <c r="AM25" s="2277"/>
      <c r="AN25" s="2277"/>
      <c r="AO25" s="2277"/>
      <c r="AP25" s="2277"/>
      <c r="AQ25" s="1252"/>
      <c r="AY25" s="1164">
        <v>14</v>
      </c>
    </row>
    <row customHeight="1" ht="14.25" hidden="1">
      <c r="Q26" s="385"/>
      <c r="R26" s="385"/>
      <c r="S26" s="1284"/>
      <c r="T26" s="372"/>
      <c r="U26" s="372"/>
      <c r="V26" s="331"/>
      <c r="W26" s="331"/>
      <c r="X26" s="331"/>
      <c r="Y26" s="331"/>
      <c r="Z26" s="331"/>
      <c r="AA26" s="331"/>
      <c r="AB26" s="331"/>
      <c r="AC26" s="331"/>
      <c r="AD26" s="331"/>
      <c r="AE26" s="331"/>
      <c r="AF26" s="331"/>
      <c r="AG26" s="331"/>
      <c r="AH26" s="331"/>
      <c r="AI26" s="331"/>
      <c r="AJ26" s="331"/>
      <c r="AK26" s="331"/>
      <c r="AL26" s="331"/>
      <c r="AM26" s="331"/>
      <c r="AN26" s="331"/>
      <c r="AO26" s="331"/>
      <c r="AP26" s="331"/>
      <c r="AQ26" s="331"/>
      <c r="AR26" s="518"/>
      <c r="AY26" s="1164">
        <v>0</v>
      </c>
    </row>
    <row s="1859" customFormat="1" customHeight="1" ht="25.5" hidden="1">
      <c r="A27" s="1377"/>
      <c r="B27" s="1377"/>
      <c r="C27" s="1377"/>
      <c r="D27" s="1377"/>
      <c r="E27" s="1377"/>
      <c r="F27" s="1377"/>
      <c r="G27" s="1377"/>
      <c r="H27" s="1377"/>
      <c r="I27" s="1377"/>
      <c r="J27" s="1377"/>
      <c r="K27" s="1377"/>
      <c r="L27" s="1378"/>
      <c r="M27" s="1377"/>
      <c r="N27" s="1377"/>
      <c r="O27" s="1377"/>
      <c r="S27"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27" s="2278"/>
      <c r="U27" s="1381"/>
      <c r="V27" s="2279" t="str">
        <f>IF(TITLE_NAME_OR_PR_CHANGE="",IF(TITLE_NAME_OR_PR="","",TITLE_NAME_OR_PR),TITLE_NAME_OR_PR_CHANGE)</f>
        <v/>
      </c>
      <c r="W27" s="2279"/>
      <c r="X27" s="2279"/>
      <c r="Y27" s="2279"/>
      <c r="Z27" s="2279"/>
      <c r="AA27" s="2279"/>
      <c r="AB27" s="2279"/>
      <c r="AC27" s="2279"/>
      <c r="AD27" s="2279"/>
      <c r="AE27" s="2279"/>
      <c r="AF27" s="335"/>
      <c r="AG27" s="2279" t="str">
        <f>IF(TITLE_NAME_OR_PR_CHANGE="",IF(TITLE_NAME_OR_PR="","",TITLE_NAME_OR_PR),TITLE_NAME_OR_PR_CHANGE)</f>
        <v/>
      </c>
      <c r="AH27" s="2279"/>
      <c r="AI27" s="2279"/>
      <c r="AJ27" s="2279"/>
      <c r="AK27" s="2279"/>
      <c r="AL27" s="2279"/>
      <c r="AM27" s="2279"/>
      <c r="AN27" s="2279"/>
      <c r="AO27" s="2279"/>
      <c r="AP27" s="2279"/>
      <c r="AQ27" s="335"/>
      <c r="AR27" s="335"/>
      <c r="AS27" s="289"/>
      <c r="AT27" s="377"/>
      <c r="AU27" s="377"/>
      <c r="AV27" s="377"/>
      <c r="AW27" s="377"/>
      <c r="AX27" s="377"/>
      <c r="AY27" s="427">
        <v>0</v>
      </c>
    </row>
    <row s="1859" customFormat="1" customHeight="1" ht="18.75" hidden="1">
      <c r="A28" s="1377"/>
      <c r="B28" s="1377"/>
      <c r="C28" s="1377"/>
      <c r="D28" s="1377"/>
      <c r="E28" s="1377"/>
      <c r="F28" s="1377"/>
      <c r="G28" s="1377"/>
      <c r="H28" s="1377"/>
      <c r="I28" s="1377"/>
      <c r="J28" s="1377"/>
      <c r="K28" s="1377"/>
      <c r="L28" s="1378"/>
      <c r="M28" s="1377"/>
      <c r="N28" s="1377"/>
      <c r="O28" s="1377"/>
      <c r="S28" s="2278" t="str">
        <f>"Дата документа об "&amp;IF(TITLE_DATE_PR_CHANGE="","утверждении","изменении")&amp;" тарифов"</f>
        <v>Дата документа об утверждении тарифов</v>
      </c>
      <c r="T28" s="2278"/>
      <c r="U28" s="1381"/>
      <c r="V28" s="2292" t="str">
        <f>IF(TITLE_DATE_PR_CHANGE="",IF(TITLE_DATE_PR="","",TITLE_DATE_PR),TITLE_DATE_PR_CHANGE)</f>
        <v/>
      </c>
      <c r="W28" s="2292"/>
      <c r="X28" s="2292"/>
      <c r="Y28" s="2292"/>
      <c r="Z28" s="2292"/>
      <c r="AA28" s="2292"/>
      <c r="AB28" s="2292"/>
      <c r="AC28" s="2292"/>
      <c r="AD28" s="2292"/>
      <c r="AE28" s="2292"/>
      <c r="AF28" s="335"/>
      <c r="AG28" s="2292" t="str">
        <f>IF(TITLE_DATE_PR_CHANGE="",IF(TITLE_DATE_PR="","",TITLE_DATE_PR),TITLE_DATE_PR_CHANGE)</f>
        <v/>
      </c>
      <c r="AH28" s="2292"/>
      <c r="AI28" s="2292"/>
      <c r="AJ28" s="2292"/>
      <c r="AK28" s="2292"/>
      <c r="AL28" s="2292"/>
      <c r="AM28" s="2292"/>
      <c r="AN28" s="2292"/>
      <c r="AO28" s="2292"/>
      <c r="AP28" s="2292"/>
      <c r="AQ28" s="335"/>
      <c r="AR28" s="335"/>
      <c r="AS28" s="289"/>
      <c r="AT28" s="377"/>
      <c r="AU28" s="377"/>
      <c r="AV28" s="377"/>
      <c r="AW28" s="377"/>
      <c r="AX28" s="377"/>
      <c r="AY28" s="427">
        <v>0</v>
      </c>
    </row>
    <row s="1859" customFormat="1" customHeight="1" ht="18.75" hidden="1">
      <c r="A29" s="1377"/>
      <c r="B29" s="1377"/>
      <c r="C29" s="1377"/>
      <c r="D29" s="1377"/>
      <c r="E29" s="1377"/>
      <c r="F29" s="1377"/>
      <c r="G29" s="1377"/>
      <c r="H29" s="1377"/>
      <c r="I29" s="1377"/>
      <c r="J29" s="1377"/>
      <c r="K29" s="1377"/>
      <c r="L29" s="1378"/>
      <c r="M29" s="1377"/>
      <c r="N29" s="1377"/>
      <c r="O29" s="1377"/>
      <c r="S29" s="2278" t="str">
        <f>"Номер документа об "&amp;IF(TITLE_DATE_PR_CHANGE="","утверждении","изменении")&amp;" тарифов"</f>
        <v>Номер документа об утверждении тарифов</v>
      </c>
      <c r="T29" s="2278"/>
      <c r="U29" s="1381"/>
      <c r="V29" s="2279" t="str">
        <f>IF(TITLE_NUMBER_PR_CHANGE="",IF(TITLE_NUMBER_PR="","",TITLE_NUMBER_PR),TITLE_NUMBER_PR_CHANGE)</f>
        <v/>
      </c>
      <c r="W29" s="2279"/>
      <c r="X29" s="2279"/>
      <c r="Y29" s="2279"/>
      <c r="Z29" s="2279"/>
      <c r="AA29" s="2279"/>
      <c r="AB29" s="2279"/>
      <c r="AC29" s="2279"/>
      <c r="AD29" s="2279"/>
      <c r="AE29" s="2279"/>
      <c r="AF29" s="335"/>
      <c r="AG29" s="2279" t="str">
        <f>IF(TITLE_NUMBER_PR_CHANGE="",IF(TITLE_NUMBER_PR="","",TITLE_NUMBER_PR),TITLE_NUMBER_PR_CHANGE)</f>
        <v/>
      </c>
      <c r="AH29" s="2279"/>
      <c r="AI29" s="2279"/>
      <c r="AJ29" s="2279"/>
      <c r="AK29" s="2279"/>
      <c r="AL29" s="2279"/>
      <c r="AM29" s="2279"/>
      <c r="AN29" s="2279"/>
      <c r="AO29" s="2279"/>
      <c r="AP29" s="2279"/>
      <c r="AQ29" s="335"/>
      <c r="AR29" s="335"/>
      <c r="AS29" s="289"/>
      <c r="AT29" s="377"/>
      <c r="AU29" s="377"/>
      <c r="AV29" s="377"/>
      <c r="AW29" s="377"/>
      <c r="AX29" s="377"/>
      <c r="AY29" s="427">
        <v>0</v>
      </c>
    </row>
    <row s="1859" customFormat="1" customHeight="1" ht="18.75" hidden="1">
      <c r="A30" s="1377"/>
      <c r="B30" s="1377"/>
      <c r="C30" s="1377"/>
      <c r="D30" s="1377"/>
      <c r="E30" s="1377"/>
      <c r="F30" s="1377"/>
      <c r="G30" s="1377"/>
      <c r="H30" s="1377"/>
      <c r="I30" s="1377"/>
      <c r="J30" s="1377"/>
      <c r="K30" s="1377"/>
      <c r="L30" s="1378"/>
      <c r="M30" s="1377"/>
      <c r="N30" s="1377"/>
      <c r="O30" s="1377"/>
      <c r="S30" s="2278" t="s">
        <v>43</v>
      </c>
      <c r="T30" s="2278"/>
      <c r="U30" s="1381"/>
      <c r="V30" s="2279" t="str">
        <f>IF(TITLE_IST_PUB_CHANGE="",IF(TITLE_IST_PUB="","",TITLE_IST_PUB),TITLE_IST_PUB_CHANGE)</f>
        <v/>
      </c>
      <c r="W30" s="2279"/>
      <c r="X30" s="2279"/>
      <c r="Y30" s="2279"/>
      <c r="Z30" s="2279"/>
      <c r="AA30" s="2279"/>
      <c r="AB30" s="2279"/>
      <c r="AC30" s="2279"/>
      <c r="AD30" s="2279"/>
      <c r="AE30" s="2279"/>
      <c r="AF30" s="335"/>
      <c r="AG30" s="2279" t="str">
        <f>IF(TITLE_IST_PUB_CHANGE="",IF(TITLE_IST_PUB="","",TITLE_IST_PUB),TITLE_IST_PUB_CHANGE)</f>
        <v/>
      </c>
      <c r="AH30" s="2279"/>
      <c r="AI30" s="2279"/>
      <c r="AJ30" s="2279"/>
      <c r="AK30" s="2279"/>
      <c r="AL30" s="2279"/>
      <c r="AM30" s="2279"/>
      <c r="AN30" s="2279"/>
      <c r="AO30" s="2279"/>
      <c r="AP30" s="2279"/>
      <c r="AQ30" s="335"/>
      <c r="AR30" s="335"/>
      <c r="AS30" s="289"/>
      <c r="AT30" s="377"/>
      <c r="AU30" s="377"/>
      <c r="AV30" s="377"/>
      <c r="AW30" s="377"/>
      <c r="AX30" s="377"/>
      <c r="AY30" s="427">
        <v>0</v>
      </c>
    </row>
    <row customHeight="1" ht="14.25" hidden="1">
      <c r="Q31" s="385"/>
      <c r="R31" s="385"/>
      <c r="S31" s="1284"/>
      <c r="T31" s="466"/>
      <c r="U31" s="372"/>
      <c r="V31" s="331"/>
      <c r="W31" s="331"/>
      <c r="X31" s="331"/>
      <c r="Y31" s="331"/>
      <c r="Z31" s="331"/>
      <c r="AA31" s="331"/>
      <c r="AB31" s="331"/>
      <c r="AC31" s="331"/>
      <c r="AD31" s="331"/>
      <c r="AE31" s="331"/>
      <c r="AF31" s="331"/>
      <c r="AG31" s="331"/>
      <c r="AH31" s="331"/>
      <c r="AI31" s="331"/>
      <c r="AJ31" s="331"/>
      <c r="AK31" s="331"/>
      <c r="AL31" s="331"/>
      <c r="AM31" s="331"/>
      <c r="AN31" s="331"/>
      <c r="AO31" s="331"/>
      <c r="AP31" s="331"/>
      <c r="AQ31" s="331"/>
      <c r="AR31" s="518"/>
      <c r="AY31" s="1164">
        <v>0</v>
      </c>
    </row>
    <row s="1859" customFormat="1" customHeight="1" ht="18.75" hidden="1">
      <c r="A32" s="1377"/>
      <c r="B32" s="1377"/>
      <c r="C32" s="1377"/>
      <c r="D32" s="1377"/>
      <c r="E32" s="1377"/>
      <c r="F32" s="1377"/>
      <c r="G32" s="1377"/>
      <c r="H32" s="1377"/>
      <c r="I32" s="1377"/>
      <c r="J32" s="1377"/>
      <c r="K32" s="1377"/>
      <c r="L32" s="1378"/>
      <c r="M32" s="1377"/>
      <c r="N32" s="1377"/>
      <c r="O32" s="1377"/>
      <c r="S32" s="2278" t="str">
        <f>"Дата подачи заявления об "&amp;IF(TITLE_DATE_PR_CHANGE="","утверждении","изменении")&amp;" тарифов"</f>
        <v>Дата подачи заявления об утверждении тарифов</v>
      </c>
      <c r="T32" s="2278"/>
      <c r="U32" s="1381"/>
      <c r="V32" s="2292" t="str">
        <f>IF(TITLE_DATE_PR_CHANGE="",IF(TITLE_DATE_PR="","",TITLE_DATE_PR),TITLE_DATE_PR_CHANGE)</f>
        <v/>
      </c>
      <c r="W32" s="2292"/>
      <c r="X32" s="2292"/>
      <c r="Y32" s="2292"/>
      <c r="Z32" s="2292"/>
      <c r="AA32" s="2292"/>
      <c r="AB32" s="2292"/>
      <c r="AC32" s="2292"/>
      <c r="AD32" s="2292"/>
      <c r="AE32" s="2292"/>
      <c r="AF32" s="335"/>
      <c r="AG32" s="2292" t="str">
        <f>IF(TITLE_DATE_PR_CHANGE="",IF(TITLE_DATE_PR="","",TITLE_DATE_PR),TITLE_DATE_PR_CHANGE)</f>
        <v/>
      </c>
      <c r="AH32" s="2292"/>
      <c r="AI32" s="2292"/>
      <c r="AJ32" s="2292"/>
      <c r="AK32" s="2292"/>
      <c r="AL32" s="2292"/>
      <c r="AM32" s="2292"/>
      <c r="AN32" s="2292"/>
      <c r="AO32" s="2292"/>
      <c r="AP32" s="2292"/>
      <c r="AQ32" s="335"/>
      <c r="AR32" s="335"/>
      <c r="AS32" s="289"/>
      <c r="AT32" s="377"/>
      <c r="AU32" s="377"/>
      <c r="AV32" s="377"/>
      <c r="AW32" s="377"/>
      <c r="AX32" s="377"/>
      <c r="AY32" s="427">
        <v>0</v>
      </c>
    </row>
    <row s="1859" customFormat="1" customHeight="1" ht="18.75" hidden="1">
      <c r="A33" s="1377"/>
      <c r="B33" s="1377"/>
      <c r="C33" s="1377"/>
      <c r="D33" s="1377"/>
      <c r="E33" s="1377"/>
      <c r="F33" s="1377"/>
      <c r="G33" s="1377"/>
      <c r="H33" s="1377"/>
      <c r="I33" s="1377"/>
      <c r="J33" s="1377"/>
      <c r="K33" s="1377"/>
      <c r="L33" s="1378"/>
      <c r="M33" s="1377"/>
      <c r="N33" s="1377"/>
      <c r="O33" s="1377"/>
      <c r="S33" s="2278" t="str">
        <f>"Номер подачи заявления об "&amp;IF(TITLE_DATE_PR_CHANGE="","утверждении","изменении")&amp;" тарифов"</f>
        <v>Номер подачи заявления об утверждении тарифов</v>
      </c>
      <c r="T33" s="2278"/>
      <c r="U33" s="1381"/>
      <c r="V33" s="2279" t="str">
        <f>IF(TITLE_NUMBER_PR_CHANGE="",IF(TITLE_NUMBER_PR="","",TITLE_NUMBER_PR),TITLE_NUMBER_PR_CHANGE)</f>
        <v/>
      </c>
      <c r="W33" s="2279"/>
      <c r="X33" s="2279"/>
      <c r="Y33" s="2279"/>
      <c r="Z33" s="2279"/>
      <c r="AA33" s="2279"/>
      <c r="AB33" s="2279"/>
      <c r="AC33" s="2279"/>
      <c r="AD33" s="2279"/>
      <c r="AE33" s="2279"/>
      <c r="AF33" s="335"/>
      <c r="AG33" s="2279" t="str">
        <f>IF(TITLE_NUMBER_PR_CHANGE="",IF(TITLE_NUMBER_PR="","",TITLE_NUMBER_PR),TITLE_NUMBER_PR_CHANGE)</f>
        <v/>
      </c>
      <c r="AH33" s="2279"/>
      <c r="AI33" s="2279"/>
      <c r="AJ33" s="2279"/>
      <c r="AK33" s="2279"/>
      <c r="AL33" s="2279"/>
      <c r="AM33" s="2279"/>
      <c r="AN33" s="2279"/>
      <c r="AO33" s="2279"/>
      <c r="AP33" s="2279"/>
      <c r="AQ33" s="335"/>
      <c r="AR33" s="335"/>
      <c r="AS33" s="289"/>
      <c r="AT33" s="377"/>
      <c r="AU33" s="377"/>
      <c r="AV33" s="377"/>
      <c r="AW33" s="377"/>
      <c r="AX33" s="377"/>
      <c r="AY33" s="427">
        <v>0</v>
      </c>
    </row>
    <row s="1859" customFormat="1" customHeight="1" ht="1.05">
      <c r="A34" s="1377"/>
      <c r="B34" s="1377"/>
      <c r="C34" s="1377"/>
      <c r="D34" s="1377"/>
      <c r="E34" s="1377"/>
      <c r="F34" s="1377"/>
      <c r="G34" s="1377"/>
      <c r="H34" s="1377"/>
      <c r="I34" s="1377"/>
      <c r="J34" s="1377"/>
      <c r="K34" s="1377"/>
      <c r="L34" s="1378"/>
      <c r="M34" s="1377"/>
      <c r="N34" s="1377"/>
      <c r="O34" s="1377"/>
      <c r="S34" s="332"/>
      <c r="T34" s="332"/>
      <c r="U34" s="1497"/>
      <c r="V34" s="335"/>
      <c r="W34" s="1644"/>
      <c r="X34" s="1644"/>
      <c r="Y34" s="1644"/>
      <c r="Z34" s="1644"/>
      <c r="AA34" s="1644"/>
      <c r="AB34" s="335"/>
      <c r="AC34" s="335"/>
      <c r="AD34" s="335"/>
      <c r="AE34" s="335"/>
      <c r="AF34" s="287" t="s">
        <v>438</v>
      </c>
      <c r="AG34" s="335"/>
      <c r="AH34" s="1644"/>
      <c r="AI34" s="1644"/>
      <c r="AJ34" s="1644"/>
      <c r="AK34" s="1644"/>
      <c r="AL34" s="1644"/>
      <c r="AM34" s="335"/>
      <c r="AN34" s="335"/>
      <c r="AO34" s="335"/>
      <c r="AP34" s="335"/>
      <c r="AQ34" s="287" t="s">
        <v>438</v>
      </c>
      <c r="AT34" s="377"/>
      <c r="AU34" s="377"/>
      <c r="AV34" s="377"/>
      <c r="AW34" s="377"/>
      <c r="AX34" s="377"/>
      <c r="AY34" s="427">
        <v>1</v>
      </c>
    </row>
    <row customHeight="1" ht="14.699999999999998">
      <c r="Q35" s="385"/>
      <c r="R35" s="385"/>
      <c r="S35" s="1284"/>
      <c r="T35" s="372"/>
      <c r="U35" s="1253"/>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Y35" s="1164">
        <v>14</v>
      </c>
    </row>
    <row customHeight="1" ht="14.699999999999998">
      <c r="Q36" s="385"/>
      <c r="R36" s="385"/>
      <c r="S36" s="2155" t="s">
        <v>315</v>
      </c>
      <c r="T36" s="2155"/>
      <c r="U36" s="2155"/>
      <c r="V36" s="2155"/>
      <c r="W36" s="2155"/>
      <c r="X36" s="2155"/>
      <c r="Y36" s="2155"/>
      <c r="Z36" s="2155"/>
      <c r="AA36" s="2155"/>
      <c r="AB36" s="2155"/>
      <c r="AC36" s="2155"/>
      <c r="AD36" s="2155"/>
      <c r="AE36" s="2155"/>
      <c r="AF36" s="2155"/>
      <c r="AG36" s="2155"/>
      <c r="AH36" s="2155"/>
      <c r="AI36" s="2155"/>
      <c r="AJ36" s="2155"/>
      <c r="AK36" s="2155"/>
      <c r="AL36" s="2155"/>
      <c r="AM36" s="2155"/>
      <c r="AN36" s="2155"/>
      <c r="AO36" s="2155"/>
      <c r="AP36" s="2155"/>
      <c r="AQ36" s="2155"/>
      <c r="AR36" s="2155"/>
      <c r="AS36" s="2155" t="s">
        <v>316</v>
      </c>
      <c r="AY36" s="1164">
        <v>14</v>
      </c>
    </row>
    <row customHeight="1" ht="14.699999999999998">
      <c r="Q37" s="385"/>
      <c r="R37" s="385"/>
      <c r="S37" s="2301" t="s">
        <v>89</v>
      </c>
      <c r="T37" s="2237" t="s">
        <v>439</v>
      </c>
      <c r="U37" s="310"/>
      <c r="V37" s="2302" t="s">
        <v>440</v>
      </c>
      <c r="W37" s="2303"/>
      <c r="X37" s="2303"/>
      <c r="Y37" s="2303"/>
      <c r="Z37" s="2303"/>
      <c r="AA37" s="2303"/>
      <c r="AB37" s="2303"/>
      <c r="AC37" s="2303"/>
      <c r="AD37" s="2303"/>
      <c r="AE37" s="2304"/>
      <c r="AF37" s="2305" t="s">
        <v>441</v>
      </c>
      <c r="AG37" s="2302" t="s">
        <v>440</v>
      </c>
      <c r="AH37" s="2303"/>
      <c r="AI37" s="2303"/>
      <c r="AJ37" s="2303"/>
      <c r="AK37" s="2303"/>
      <c r="AL37" s="2303"/>
      <c r="AM37" s="2303"/>
      <c r="AN37" s="2303"/>
      <c r="AO37" s="2303"/>
      <c r="AP37" s="2304"/>
      <c r="AQ37" s="2305" t="s">
        <v>442</v>
      </c>
      <c r="AR37" s="2308" t="s">
        <v>443</v>
      </c>
      <c r="AS37" s="2155"/>
      <c r="AY37" s="1164">
        <v>14</v>
      </c>
    </row>
    <row s="1644" customFormat="1" customHeight="1" ht="19.95">
      <c r="A38" s="1375"/>
      <c r="B38" s="1375"/>
      <c r="C38" s="1375"/>
      <c r="D38" s="1375"/>
      <c r="E38" s="1375"/>
      <c r="F38" s="1375"/>
      <c r="G38" s="1375"/>
      <c r="H38" s="1375"/>
      <c r="I38" s="1375"/>
      <c r="J38" s="1375"/>
      <c r="K38" s="1375"/>
      <c r="L38" s="1986"/>
      <c r="M38" s="1371"/>
      <c r="N38" s="1371"/>
      <c r="O38" s="1371"/>
      <c r="P38" s="1987"/>
      <c r="Q38" s="385"/>
      <c r="R38" s="385"/>
      <c r="S38" s="2301"/>
      <c r="T38" s="2237"/>
      <c r="U38" s="1040"/>
      <c r="V38" s="2394" t="s">
        <v>545</v>
      </c>
      <c r="W38" s="2393" t="s">
        <v>546</v>
      </c>
      <c r="X38" s="2393"/>
      <c r="Y38" s="2393"/>
      <c r="Z38" s="2393" t="s">
        <v>547</v>
      </c>
      <c r="AA38" s="2393"/>
      <c r="AB38" s="2393"/>
      <c r="AC38" s="2322" t="s">
        <v>447</v>
      </c>
      <c r="AD38" s="2341"/>
      <c r="AE38" s="2342"/>
      <c r="AF38" s="2306"/>
      <c r="AG38" s="2394" t="s">
        <v>545</v>
      </c>
      <c r="AH38" s="2393" t="s">
        <v>546</v>
      </c>
      <c r="AI38" s="2393"/>
      <c r="AJ38" s="2393"/>
      <c r="AK38" s="2393" t="s">
        <v>547</v>
      </c>
      <c r="AL38" s="2393"/>
      <c r="AM38" s="2393"/>
      <c r="AN38" s="2322" t="s">
        <v>447</v>
      </c>
      <c r="AO38" s="2341"/>
      <c r="AP38" s="2342"/>
      <c r="AQ38" s="2306"/>
      <c r="AR38" s="2309"/>
      <c r="AS38" s="2155"/>
      <c r="AT38" s="1645"/>
      <c r="AU38" s="1645"/>
      <c r="AV38" s="1645"/>
      <c r="AW38" s="1645"/>
      <c r="AX38" s="1645"/>
      <c r="AY38" s="1640">
        <v>19</v>
      </c>
    </row>
    <row customHeight="1" ht="19.95">
      <c r="Q39" s="385"/>
      <c r="R39" s="385"/>
      <c r="S39" s="2301"/>
      <c r="T39" s="2237"/>
      <c r="U39" s="1040"/>
      <c r="V39" s="2394"/>
      <c r="W39" s="2393" t="s">
        <v>548</v>
      </c>
      <c r="X39" s="2393" t="s">
        <v>549</v>
      </c>
      <c r="Y39" s="2393"/>
      <c r="Z39" s="2393" t="s">
        <v>550</v>
      </c>
      <c r="AA39" s="2393" t="s">
        <v>549</v>
      </c>
      <c r="AB39" s="2393"/>
      <c r="AC39" s="2323"/>
      <c r="AD39" s="2343"/>
      <c r="AE39" s="2344"/>
      <c r="AF39" s="2306"/>
      <c r="AG39" s="2394"/>
      <c r="AH39" s="2393" t="s">
        <v>548</v>
      </c>
      <c r="AI39" s="2393" t="s">
        <v>549</v>
      </c>
      <c r="AJ39" s="2393"/>
      <c r="AK39" s="2393" t="s">
        <v>550</v>
      </c>
      <c r="AL39" s="2393" t="s">
        <v>549</v>
      </c>
      <c r="AM39" s="2393"/>
      <c r="AN39" s="2323"/>
      <c r="AO39" s="2343"/>
      <c r="AP39" s="2344"/>
      <c r="AQ39" s="2306"/>
      <c r="AR39" s="2309"/>
      <c r="AS39" s="2155"/>
      <c r="AY39" s="1164">
        <v>19</v>
      </c>
    </row>
    <row customHeight="1" ht="61.949999999999996">
      <c r="A40" s="1379"/>
      <c r="B40" s="1379" t="s">
        <v>152</v>
      </c>
      <c r="C40" s="1379" t="s">
        <v>153</v>
      </c>
      <c r="D40" s="1379" t="s">
        <v>154</v>
      </c>
      <c r="E40" s="1373" t="s">
        <v>448</v>
      </c>
      <c r="F40" s="1373" t="s">
        <v>449</v>
      </c>
      <c r="G40" s="1373" t="s">
        <v>450</v>
      </c>
      <c r="H40" s="1373"/>
      <c r="I40" s="1373" t="s">
        <v>503</v>
      </c>
      <c r="J40" s="1373" t="s">
        <v>453</v>
      </c>
      <c r="K40" s="1373" t="s">
        <v>504</v>
      </c>
      <c r="L40" s="1373" t="s">
        <v>433</v>
      </c>
      <c r="Q40" s="385"/>
      <c r="R40" s="385"/>
      <c r="S40" s="2301"/>
      <c r="T40" s="2237"/>
      <c r="U40" s="311"/>
      <c r="V40" s="2394"/>
      <c r="W40" s="2393"/>
      <c r="X40" s="1989" t="s">
        <v>551</v>
      </c>
      <c r="Y40" s="1989" t="s">
        <v>552</v>
      </c>
      <c r="Z40" s="2393"/>
      <c r="AA40" s="1989" t="s">
        <v>553</v>
      </c>
      <c r="AB40" s="1989" t="s">
        <v>554</v>
      </c>
      <c r="AC40" s="1498" t="s">
        <v>457</v>
      </c>
      <c r="AD40" s="2298" t="s">
        <v>458</v>
      </c>
      <c r="AE40" s="2299"/>
      <c r="AF40" s="2307"/>
      <c r="AG40" s="2394"/>
      <c r="AH40" s="2393"/>
      <c r="AI40" s="1989" t="s">
        <v>551</v>
      </c>
      <c r="AJ40" s="1989" t="s">
        <v>552</v>
      </c>
      <c r="AK40" s="2393"/>
      <c r="AL40" s="1989" t="s">
        <v>553</v>
      </c>
      <c r="AM40" s="1989" t="s">
        <v>554</v>
      </c>
      <c r="AN40" s="1498" t="s">
        <v>457</v>
      </c>
      <c r="AO40" s="2298" t="s">
        <v>458</v>
      </c>
      <c r="AP40" s="2299"/>
      <c r="AQ40" s="2307"/>
      <c r="AR40" s="2310"/>
      <c r="AS40" s="2155"/>
      <c r="AY40" s="1164">
        <v>59</v>
      </c>
    </row>
    <row s="1650" customFormat="1" customHeight="1" ht="11.25" hidden="1">
      <c r="A41" s="1379"/>
      <c r="B41" s="1379"/>
      <c r="C41" s="1379"/>
      <c r="D41" s="1379"/>
      <c r="E41" s="1379"/>
      <c r="F41" s="1379"/>
      <c r="G41" s="1379"/>
      <c r="H41" s="1379"/>
      <c r="I41" s="1379"/>
      <c r="J41" s="1379"/>
      <c r="K41" s="1379"/>
      <c r="L41" s="1373"/>
      <c r="M41" s="1371"/>
      <c r="N41" s="1371"/>
      <c r="O41" s="1371"/>
      <c r="P41" s="1255"/>
      <c r="Q41" s="1256"/>
      <c r="R41" s="1263">
        <v>1</v>
      </c>
      <c r="S41" s="1286" t="s">
        <v>118</v>
      </c>
      <c r="T41" s="1264" t="s">
        <v>103</v>
      </c>
      <c r="U41" s="1254" t="str">
        <f>OFFSET(U41,0,-1)</f>
        <v>2</v>
      </c>
      <c r="V41" s="1491">
        <f>OFFSET(V41,0,-1)+1</f>
        <v>3</v>
      </c>
      <c r="W41" s="1985"/>
      <c r="X41" s="1985"/>
      <c r="Y41" s="1985"/>
      <c r="Z41" s="1985"/>
      <c r="AA41" s="1985"/>
      <c r="AB41" s="1491">
        <f>OFFSET(AB41,0,-1)+1</f>
        <v>1</v>
      </c>
      <c r="AC41" s="1491">
        <f>OFFSET(AC41,0,-1)+1</f>
        <v>2</v>
      </c>
      <c r="AD41" s="2300">
        <f>OFFSET(AD41,0,-1)+1</f>
        <v>3</v>
      </c>
      <c r="AE41" s="2300"/>
      <c r="AF41" s="1491">
        <f>OFFSET(AF41,0,-2)+1</f>
        <v>4</v>
      </c>
      <c r="AG41" s="1491">
        <f>OFFSET(AG41,0,-1)+1</f>
        <v>5</v>
      </c>
      <c r="AH41" s="1985"/>
      <c r="AI41" s="1985"/>
      <c r="AJ41" s="1985"/>
      <c r="AK41" s="1985"/>
      <c r="AL41" s="1985"/>
      <c r="AM41" s="1491">
        <f>OFFSET(AM41,0,-1)+1</f>
        <v>1</v>
      </c>
      <c r="AN41" s="1491">
        <f>OFFSET(AN41,0,-1)+1</f>
        <v>2</v>
      </c>
      <c r="AO41" s="2300">
        <f>OFFSET(AO41,0,-1)+1</f>
        <v>3</v>
      </c>
      <c r="AP41" s="2300"/>
      <c r="AQ41" s="1491">
        <f>OFFSET(AQ41,0,-2)+1</f>
        <v>4</v>
      </c>
      <c r="AR41" s="1254">
        <f>OFFSET(AR41,0,-1)</f>
        <v>4</v>
      </c>
      <c r="AS41" s="1491">
        <f>OFFSET(AS41,0,-1)+1</f>
        <v>5</v>
      </c>
      <c r="AT41" s="520"/>
      <c r="AU41" s="520"/>
      <c r="AV41" s="520"/>
      <c r="AW41" s="520"/>
      <c r="AX41" s="520"/>
      <c r="AY41" s="505">
        <v>0</v>
      </c>
    </row>
    <row customHeight="1" ht="24">
      <c r="A42" s="1372" t="s">
        <v>271</v>
      </c>
      <c r="B42" s="1372"/>
      <c r="C42" s="1372"/>
      <c r="D42" s="1372"/>
      <c r="E42" s="2286">
        <v>1</v>
      </c>
      <c r="F42" s="1372"/>
      <c r="G42" s="1372"/>
      <c r="H42" s="1372"/>
      <c r="I42" s="1372"/>
      <c r="J42" s="1372"/>
      <c r="K42" s="1372"/>
      <c r="L42" s="1373"/>
      <c r="M42" s="1374"/>
      <c r="N42" s="1374"/>
      <c r="O42" s="1374"/>
      <c r="P42" s="370"/>
      <c r="Q42" s="369"/>
      <c r="R42" s="364"/>
      <c r="S42" s="1502">
        <f>INDEX(PT_DIFFERENTIATION_NUM_NTAR,MATCH(A42,PT_DIFFERENTIATION_NTAR_ID,0))</f>
        <v>0</v>
      </c>
      <c r="T42" s="307" t="s">
        <v>140</v>
      </c>
      <c r="U42" s="309"/>
      <c r="V42" s="2270"/>
      <c r="W42" s="2271"/>
      <c r="X42" s="2271"/>
      <c r="Y42" s="2271"/>
      <c r="Z42" s="2271"/>
      <c r="AA42" s="2271"/>
      <c r="AB42" s="2271"/>
      <c r="AC42" s="2271"/>
      <c r="AD42" s="2271"/>
      <c r="AE42" s="2271"/>
      <c r="AF42" s="2272"/>
      <c r="AG42" s="2270" t="str">
        <f>INDEX(PT_DIFFERENTIATION_NTAR,MATCH(A42,PT_DIFFERENTIATION_NTAR_ID,0))</f>
        <v/>
      </c>
      <c r="AH42" s="2271"/>
      <c r="AI42" s="2271"/>
      <c r="AJ42" s="2271"/>
      <c r="AK42" s="2271"/>
      <c r="AL42" s="2271"/>
      <c r="AM42" s="2271"/>
      <c r="AN42" s="2271"/>
      <c r="AO42" s="2271"/>
      <c r="AP42" s="2271"/>
      <c r="AQ42" s="2271"/>
      <c r="AR42" s="2272"/>
      <c r="AS4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9"/>
      <c r="AV42" s="509" t="str">
        <f>IF(T42="","",T42)</f>
        <v>Наименование тарифа</v>
      </c>
      <c r="AW42" s="509"/>
      <c r="AX42" s="509"/>
      <c r="AY42" s="1164">
        <v>23</v>
      </c>
    </row>
    <row customHeight="1" ht="24">
      <c r="A43" s="1372" t="s">
        <v>271</v>
      </c>
      <c r="B43" s="1372" t="s">
        <v>272</v>
      </c>
      <c r="C43" s="1372"/>
      <c r="D43" s="1372"/>
      <c r="E43" s="2287"/>
      <c r="F43" s="2286">
        <v>1</v>
      </c>
      <c r="G43" s="1372"/>
      <c r="H43" s="1372"/>
      <c r="I43" s="1372"/>
      <c r="J43" s="1372"/>
      <c r="K43" s="1372"/>
      <c r="L43" s="1373"/>
      <c r="M43" s="1374"/>
      <c r="N43" s="1374"/>
      <c r="O43" s="1374"/>
      <c r="P43" s="1496"/>
      <c r="Q43" s="361"/>
      <c r="R43" s="362"/>
      <c r="S43" s="1502" t="str">
        <f>INDEX(PT_DIFFERENTIATION_NUM_TER,MATCH(B43,PT_DIFFERENTIATION_TER_ID,0))</f>
        <v>.</v>
      </c>
      <c r="T43" s="317" t="s">
        <v>412</v>
      </c>
      <c r="U43" s="309"/>
      <c r="V43" s="2270"/>
      <c r="W43" s="2271"/>
      <c r="X43" s="2271"/>
      <c r="Y43" s="2271"/>
      <c r="Z43" s="2271"/>
      <c r="AA43" s="2271"/>
      <c r="AB43" s="2271"/>
      <c r="AC43" s="2271"/>
      <c r="AD43" s="2271"/>
      <c r="AE43" s="2271"/>
      <c r="AF43" s="2272"/>
      <c r="AG43" s="2270" t="str">
        <f>INDEX(PT_DIFFERENTIATION_TER,MATCH(B43,PT_DIFFERENTIATION_TER_ID,0))</f>
        <v/>
      </c>
      <c r="AH43" s="2271"/>
      <c r="AI43" s="2271"/>
      <c r="AJ43" s="2271"/>
      <c r="AK43" s="2271"/>
      <c r="AL43" s="2271"/>
      <c r="AM43" s="2271"/>
      <c r="AN43" s="2271"/>
      <c r="AO43" s="2271"/>
      <c r="AP43" s="2271"/>
      <c r="AQ43" s="2271"/>
      <c r="AR43" s="2272"/>
      <c r="AS43" s="1267" t="s">
        <v>413</v>
      </c>
      <c r="AU43" s="509"/>
      <c r="AV43" s="509" t="str">
        <f>IF(T43="","",T43)</f>
        <v>Территория действия тарифа</v>
      </c>
      <c r="AW43" s="509"/>
      <c r="AX43" s="509"/>
      <c r="AY43" s="1164">
        <v>23</v>
      </c>
    </row>
    <row customHeight="1" ht="24">
      <c r="A44" s="1372" t="s">
        <v>271</v>
      </c>
      <c r="B44" s="1372" t="s">
        <v>272</v>
      </c>
      <c r="C44" s="1372" t="s">
        <v>273</v>
      </c>
      <c r="D44" s="1372"/>
      <c r="E44" s="2287"/>
      <c r="F44" s="2287"/>
      <c r="G44" s="2286">
        <v>1</v>
      </c>
      <c r="H44" s="1372"/>
      <c r="I44" s="1372"/>
      <c r="J44" s="1372"/>
      <c r="K44" s="1372"/>
      <c r="L44" s="1373"/>
      <c r="M44" s="1374"/>
      <c r="N44" s="1374"/>
      <c r="O44" s="1374"/>
      <c r="P44" s="363"/>
      <c r="Q44" s="361"/>
      <c r="R44" s="362"/>
      <c r="S44" s="1502" t="str">
        <f>INDEX(PT_DIFFERENTIATION_NUM_CS,MATCH(C44,PT_DIFFERENTIATION_CS_ID,0))</f>
        <v>..</v>
      </c>
      <c r="T44" s="318" t="s">
        <v>543</v>
      </c>
      <c r="U44" s="309"/>
      <c r="V44" s="2270"/>
      <c r="W44" s="2271"/>
      <c r="X44" s="2271"/>
      <c r="Y44" s="2271"/>
      <c r="Z44" s="2271"/>
      <c r="AA44" s="2271"/>
      <c r="AB44" s="2271"/>
      <c r="AC44" s="2271"/>
      <c r="AD44" s="2271"/>
      <c r="AE44" s="2271"/>
      <c r="AF44" s="2272"/>
      <c r="AG44" s="2270" t="str">
        <f>INDEX(PT_DIFFERENTIATION_CS,MATCH(C44,PT_DIFFERENTIATION_CS_ID,0))</f>
        <v/>
      </c>
      <c r="AH44" s="2271"/>
      <c r="AI44" s="2271"/>
      <c r="AJ44" s="2271"/>
      <c r="AK44" s="2271"/>
      <c r="AL44" s="2271"/>
      <c r="AM44" s="2271"/>
      <c r="AN44" s="2271"/>
      <c r="AO44" s="2271"/>
      <c r="AP44" s="2271"/>
      <c r="AQ44" s="2271"/>
      <c r="AR44" s="2272"/>
      <c r="AS44" s="1267" t="s">
        <v>544</v>
      </c>
      <c r="AU44" s="509"/>
      <c r="AV44" s="509" t="str">
        <f>IF(T44="","",T44)</f>
        <v>Наименование централизованной системы горячего водоснабжения</v>
      </c>
      <c r="AW44" s="509"/>
      <c r="AX44" s="509"/>
      <c r="AY44" s="1164">
        <v>23</v>
      </c>
    </row>
    <row customHeight="1" ht="24">
      <c r="A45" s="1372" t="s">
        <v>271</v>
      </c>
      <c r="B45" s="1372" t="s">
        <v>272</v>
      </c>
      <c r="C45" s="1372" t="s">
        <v>273</v>
      </c>
      <c r="D45" s="1372" t="s">
        <v>556</v>
      </c>
      <c r="E45" s="2287"/>
      <c r="F45" s="2287"/>
      <c r="G45" s="2287"/>
      <c r="H45" s="2287"/>
      <c r="I45" s="2284" t="str">
        <f>S44&amp;".1"</f>
        <v>...1</v>
      </c>
      <c r="J45" s="1372"/>
      <c r="K45" s="1372"/>
      <c r="L45" s="1373"/>
      <c r="P45" s="2285">
        <v>1</v>
      </c>
      <c r="Q45" s="1490"/>
      <c r="R45" s="365"/>
      <c r="S45" s="1502" t="str">
        <f>$I45</f>
        <v>...1</v>
      </c>
      <c r="T45" s="294" t="s">
        <v>496</v>
      </c>
      <c r="U45" s="309"/>
      <c r="V45" s="2378"/>
      <c r="W45" s="2379"/>
      <c r="X45" s="2379"/>
      <c r="Y45" s="2379"/>
      <c r="Z45" s="2379"/>
      <c r="AA45" s="2379"/>
      <c r="AB45" s="2379"/>
      <c r="AC45" s="2379"/>
      <c r="AD45" s="2379"/>
      <c r="AE45" s="2379"/>
      <c r="AF45" s="2380"/>
      <c r="AG45" s="2381"/>
      <c r="AH45" s="2382"/>
      <c r="AI45" s="2382"/>
      <c r="AJ45" s="2382"/>
      <c r="AK45" s="2382"/>
      <c r="AL45" s="2382"/>
      <c r="AM45" s="2382"/>
      <c r="AN45" s="2382"/>
      <c r="AO45" s="2382"/>
      <c r="AP45" s="2382"/>
      <c r="AQ45" s="2382"/>
      <c r="AR45" s="2383"/>
      <c r="AS45" s="1267" t="s">
        <v>497</v>
      </c>
      <c r="AU45" s="509"/>
      <c r="AV45" s="509" t="str">
        <f>IF(T45="","",T45)</f>
        <v>Наименование признака дифференциации</v>
      </c>
      <c r="AW45" s="509"/>
      <c r="AX45" s="509"/>
      <c r="AY45" s="1164">
        <v>23</v>
      </c>
    </row>
    <row customHeight="1" ht="24">
      <c r="A46" s="1372" t="s">
        <v>271</v>
      </c>
      <c r="B46" s="1372" t="s">
        <v>272</v>
      </c>
      <c r="C46" s="1372" t="s">
        <v>273</v>
      </c>
      <c r="D46" s="1372" t="s">
        <v>556</v>
      </c>
      <c r="E46" s="2287"/>
      <c r="F46" s="2287"/>
      <c r="G46" s="2287"/>
      <c r="H46" s="2287"/>
      <c r="I46" s="2314"/>
      <c r="J46" s="2284" t="str">
        <f>I45&amp;".1"</f>
        <v>...1.1</v>
      </c>
      <c r="K46" s="1372"/>
      <c r="L46" s="1373" t="s">
        <v>421</v>
      </c>
      <c r="P46" s="2285"/>
      <c r="Q46" s="2285">
        <v>1</v>
      </c>
      <c r="R46" s="366"/>
      <c r="S46" s="1502" t="str">
        <f>$J46</f>
        <v>...1.1</v>
      </c>
      <c r="T46" s="295" t="s">
        <v>422</v>
      </c>
      <c r="U46" s="309"/>
      <c r="V46" s="2273"/>
      <c r="W46" s="2274"/>
      <c r="X46" s="2274"/>
      <c r="Y46" s="2274"/>
      <c r="Z46" s="2274"/>
      <c r="AA46" s="2274"/>
      <c r="AB46" s="2274"/>
      <c r="AC46" s="2274"/>
      <c r="AD46" s="2274"/>
      <c r="AE46" s="2274"/>
      <c r="AF46" s="2275"/>
      <c r="AG46" s="2273"/>
      <c r="AH46" s="2274"/>
      <c r="AI46" s="2274"/>
      <c r="AJ46" s="2274"/>
      <c r="AK46" s="2274"/>
      <c r="AL46" s="2274"/>
      <c r="AM46" s="2274"/>
      <c r="AN46" s="2274"/>
      <c r="AO46" s="2274"/>
      <c r="AP46" s="2274"/>
      <c r="AQ46" s="2274"/>
      <c r="AR46" s="2275"/>
      <c r="AS46" s="1316" t="s">
        <v>498</v>
      </c>
      <c r="AU46" s="509"/>
      <c r="AV46" s="509" t="str">
        <f>IF(T46="","",T46)</f>
        <v>Группа потребителей</v>
      </c>
      <c r="AW46" s="509"/>
      <c r="AX46" s="509"/>
      <c r="AY46" s="1164">
        <v>23</v>
      </c>
    </row>
    <row customHeight="1" ht="24">
      <c r="A47" s="1372" t="s">
        <v>271</v>
      </c>
      <c r="B47" s="1372" t="s">
        <v>272</v>
      </c>
      <c r="C47" s="1372" t="s">
        <v>273</v>
      </c>
      <c r="D47" s="1372" t="s">
        <v>556</v>
      </c>
      <c r="E47" s="2287"/>
      <c r="F47" s="2287"/>
      <c r="G47" s="2287"/>
      <c r="H47" s="2287"/>
      <c r="I47" s="2314"/>
      <c r="J47" s="2314"/>
      <c r="K47" s="2284" t="str">
        <f>J46&amp;".1"</f>
        <v>...1.1.1</v>
      </c>
      <c r="L47" s="1373"/>
      <c r="P47" s="2285"/>
      <c r="Q47" s="2285"/>
      <c r="R47" s="366">
        <v>1</v>
      </c>
      <c r="S47" s="1502" t="str">
        <f>$K47</f>
        <v>...1.1.1</v>
      </c>
      <c r="T47" s="1446"/>
      <c r="U47" s="309"/>
      <c r="V47" s="1369"/>
      <c r="W47" s="1369"/>
      <c r="X47" s="1369"/>
      <c r="Y47" s="1369"/>
      <c r="Z47" s="1369"/>
      <c r="AA47" s="1369"/>
      <c r="AB47" s="1370"/>
      <c r="AC47" s="2295"/>
      <c r="AD47" s="2296" t="s">
        <v>63</v>
      </c>
      <c r="AE47" s="2295"/>
      <c r="AF47" s="2296" t="s">
        <v>63</v>
      </c>
      <c r="AG47" s="760"/>
      <c r="AH47" s="760"/>
      <c r="AI47" s="760"/>
      <c r="AJ47" s="760"/>
      <c r="AK47" s="760"/>
      <c r="AL47" s="760"/>
      <c r="AM47" s="1266"/>
      <c r="AN47" s="2293"/>
      <c r="AO47" s="2135" t="s">
        <v>63</v>
      </c>
      <c r="AP47" s="2315"/>
      <c r="AQ47" s="2135" t="s">
        <v>19</v>
      </c>
      <c r="AR47" s="1447"/>
      <c r="AS47" s="23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20">
        <f>STRCHECKDATE(V48:AR48)</f>
      </c>
      <c r="AU47" s="509"/>
      <c r="AV47" s="509" t="str">
        <f>IF(T47="","",T47)</f>
        <v/>
      </c>
      <c r="AW47" s="509"/>
      <c r="AX47" s="509"/>
      <c r="AY47" s="1164">
        <v>23</v>
      </c>
    </row>
    <row customHeight="1" ht="0">
      <c r="A48" s="1372" t="s">
        <v>271</v>
      </c>
      <c r="B48" s="1372" t="s">
        <v>272</v>
      </c>
      <c r="C48" s="1372" t="s">
        <v>273</v>
      </c>
      <c r="D48" s="1372" t="s">
        <v>556</v>
      </c>
      <c r="E48" s="2287"/>
      <c r="F48" s="2287"/>
      <c r="G48" s="2287"/>
      <c r="H48" s="2287"/>
      <c r="I48" s="2314"/>
      <c r="J48" s="2314"/>
      <c r="K48" s="2284"/>
      <c r="L48" s="1373"/>
      <c r="P48" s="2285"/>
      <c r="Q48" s="2285"/>
      <c r="R48" s="366"/>
      <c r="S48" s="1499"/>
      <c r="T48" s="309"/>
      <c r="U48" s="309"/>
      <c r="V48" s="1369"/>
      <c r="W48" s="1369"/>
      <c r="X48" s="1369"/>
      <c r="Y48" s="1369"/>
      <c r="Z48" s="1369"/>
      <c r="AA48" s="1369"/>
      <c r="AB48" s="337" t="str">
        <f>AC47&amp;"-"&amp;AE47</f>
        <v>-</v>
      </c>
      <c r="AC48" s="2296"/>
      <c r="AD48" s="2296"/>
      <c r="AE48" s="2296"/>
      <c r="AF48" s="2296"/>
      <c r="AG48" s="334"/>
      <c r="AH48" s="334"/>
      <c r="AI48" s="334"/>
      <c r="AJ48" s="334"/>
      <c r="AK48" s="334"/>
      <c r="AL48" s="334"/>
      <c r="AM48" s="337" t="str">
        <f>AN47&amp;"-"&amp;AP47</f>
        <v>-</v>
      </c>
      <c r="AN48" s="2294"/>
      <c r="AO48" s="2135"/>
      <c r="AP48" s="2316"/>
      <c r="AQ48" s="2135"/>
      <c r="AR48" s="1448"/>
      <c r="AS48" s="2377"/>
      <c r="AU48" s="509"/>
      <c r="AV48" s="509" t="str">
        <f>IF(T48="","",T48)</f>
        <v/>
      </c>
      <c r="AW48" s="509"/>
      <c r="AX48" s="509"/>
      <c r="AY48" s="1164">
        <v>0</v>
      </c>
    </row>
    <row customHeight="1" ht="21">
      <c r="A49" s="1372" t="s">
        <v>271</v>
      </c>
      <c r="B49" s="1372" t="s">
        <v>272</v>
      </c>
      <c r="C49" s="1372" t="s">
        <v>273</v>
      </c>
      <c r="D49" s="1372" t="s">
        <v>556</v>
      </c>
      <c r="E49" s="2287"/>
      <c r="F49" s="2287"/>
      <c r="G49" s="2287"/>
      <c r="H49" s="2287"/>
      <c r="I49" s="2314"/>
      <c r="J49" s="2284"/>
      <c r="K49" s="1372"/>
      <c r="L49" s="1373"/>
      <c r="P49" s="2285"/>
      <c r="Q49" s="2285"/>
      <c r="R49" s="365"/>
      <c r="S49" s="1287"/>
      <c r="T49" s="296" t="s">
        <v>499</v>
      </c>
      <c r="U49" s="376"/>
      <c r="V49" s="376"/>
      <c r="W49" s="609"/>
      <c r="X49" s="609"/>
      <c r="Y49" s="609"/>
      <c r="Z49" s="609"/>
      <c r="AA49" s="609"/>
      <c r="AB49" s="376"/>
      <c r="AC49" s="376"/>
      <c r="AD49" s="376"/>
      <c r="AE49" s="376"/>
      <c r="AF49" s="376"/>
      <c r="AG49" s="376"/>
      <c r="AH49" s="609"/>
      <c r="AI49" s="609"/>
      <c r="AJ49" s="609"/>
      <c r="AK49" s="609"/>
      <c r="AL49" s="609"/>
      <c r="AM49" s="376"/>
      <c r="AN49" s="376"/>
      <c r="AO49" s="376"/>
      <c r="AP49" s="376"/>
      <c r="AQ49" s="376"/>
      <c r="AR49" s="376"/>
      <c r="AS49" s="1267" t="s">
        <v>500</v>
      </c>
      <c r="AU49" s="509"/>
      <c r="AV49" s="509" t="str">
        <f>IF(T49="","",T49)</f>
        <v>Добавить значение признака дифференциации</v>
      </c>
      <c r="AW49" s="509"/>
      <c r="AX49" s="509"/>
      <c r="AY49" s="1164">
        <v>20</v>
      </c>
    </row>
    <row customHeight="1" ht="22.049999999999997">
      <c r="A50" s="1372" t="s">
        <v>271</v>
      </c>
      <c r="B50" s="1372" t="s">
        <v>272</v>
      </c>
      <c r="C50" s="1372" t="s">
        <v>273</v>
      </c>
      <c r="D50" s="1372" t="s">
        <v>556</v>
      </c>
      <c r="E50" s="2287"/>
      <c r="F50" s="2287"/>
      <c r="G50" s="2287"/>
      <c r="H50" s="2287"/>
      <c r="I50" s="2284"/>
      <c r="J50" s="1372"/>
      <c r="K50" s="1372"/>
      <c r="L50" s="1373"/>
      <c r="P50" s="2285"/>
      <c r="Q50" s="1490"/>
      <c r="R50" s="365"/>
      <c r="S50" s="1287"/>
      <c r="T50" s="374" t="s">
        <v>427</v>
      </c>
      <c r="U50" s="376"/>
      <c r="V50" s="376"/>
      <c r="W50" s="609"/>
      <c r="X50" s="609"/>
      <c r="Y50" s="609"/>
      <c r="Z50" s="609"/>
      <c r="AA50" s="609"/>
      <c r="AB50" s="376"/>
      <c r="AC50" s="376"/>
      <c r="AD50" s="376"/>
      <c r="AE50" s="376"/>
      <c r="AF50" s="375"/>
      <c r="AG50" s="376"/>
      <c r="AH50" s="609"/>
      <c r="AI50" s="609"/>
      <c r="AJ50" s="609"/>
      <c r="AK50" s="609"/>
      <c r="AL50" s="609"/>
      <c r="AM50" s="376"/>
      <c r="AN50" s="376"/>
      <c r="AO50" s="376"/>
      <c r="AP50" s="376"/>
      <c r="AQ50" s="375"/>
      <c r="AR50" s="376"/>
      <c r="AS50" s="1449"/>
      <c r="AU50" s="509"/>
      <c r="AV50" s="509" t="str">
        <f>IF(T50="","",T50)</f>
        <v>Добавить группу потребителей</v>
      </c>
      <c r="AW50" s="509"/>
      <c r="AX50" s="509"/>
      <c r="AY50" s="1164">
        <v>21</v>
      </c>
    </row>
    <row customHeight="1" ht="22.049999999999997">
      <c r="A51" s="1372" t="s">
        <v>271</v>
      </c>
      <c r="B51" s="1372" t="s">
        <v>272</v>
      </c>
      <c r="C51" s="1372" t="s">
        <v>273</v>
      </c>
      <c r="D51" s="1372" t="s">
        <v>556</v>
      </c>
      <c r="E51" s="2287"/>
      <c r="F51" s="2287"/>
      <c r="G51" s="2287"/>
      <c r="H51" s="2286"/>
      <c r="I51" s="1372"/>
      <c r="J51" s="1372"/>
      <c r="K51" s="1372"/>
      <c r="L51" s="1373"/>
      <c r="M51" s="1374"/>
      <c r="N51" s="1374"/>
      <c r="O51" s="546"/>
      <c r="P51" s="369"/>
      <c r="Q51" s="384"/>
      <c r="R51" s="364"/>
      <c r="S51" s="1287"/>
      <c r="T51" s="381" t="s">
        <v>501</v>
      </c>
      <c r="U51" s="376"/>
      <c r="V51" s="376"/>
      <c r="W51" s="609"/>
      <c r="X51" s="609"/>
      <c r="Y51" s="609"/>
      <c r="Z51" s="609"/>
      <c r="AA51" s="609"/>
      <c r="AB51" s="376"/>
      <c r="AC51" s="376"/>
      <c r="AD51" s="376"/>
      <c r="AE51" s="376"/>
      <c r="AF51" s="375"/>
      <c r="AG51" s="376"/>
      <c r="AH51" s="609"/>
      <c r="AI51" s="609"/>
      <c r="AJ51" s="609"/>
      <c r="AK51" s="609"/>
      <c r="AL51" s="609"/>
      <c r="AM51" s="376"/>
      <c r="AN51" s="376"/>
      <c r="AO51" s="376"/>
      <c r="AP51" s="376"/>
      <c r="AQ51" s="375"/>
      <c r="AR51" s="376"/>
      <c r="AS51" s="312"/>
      <c r="AU51" s="509"/>
      <c r="AV51" s="509" t="str">
        <f>IF(T51="","",T51)</f>
        <v>Добавить наименование признака дифференциации</v>
      </c>
      <c r="AW51" s="509"/>
      <c r="AX51" s="509"/>
      <c r="AY51" s="1164">
        <v>21</v>
      </c>
    </row>
    <row s="1651" customFormat="1" customHeight="1" ht="0">
      <c r="A52" s="1352" t="s">
        <v>271</v>
      </c>
      <c r="B52" s="1352" t="s">
        <v>272</v>
      </c>
      <c r="C52" s="1323"/>
      <c r="D52" s="1323"/>
      <c r="E52" s="2287"/>
      <c r="F52" s="2286"/>
      <c r="G52" s="1323"/>
      <c r="H52" s="1323"/>
      <c r="I52" s="1323"/>
      <c r="J52" s="1323"/>
      <c r="K52" s="1323"/>
      <c r="L52" s="1503"/>
      <c r="M52" s="1330"/>
      <c r="N52" s="1330"/>
      <c r="P52" s="1325"/>
      <c r="Q52" s="1326"/>
      <c r="R52" s="1325"/>
      <c r="S52" s="1331"/>
      <c r="T52" s="1334" t="s">
        <v>430</v>
      </c>
      <c r="U52" s="1333"/>
      <c r="V52" s="1333"/>
      <c r="W52" s="1333"/>
      <c r="X52" s="1333"/>
      <c r="Y52" s="1333"/>
      <c r="Z52" s="1333"/>
      <c r="AA52" s="1333"/>
      <c r="AB52" s="1333"/>
      <c r="AC52" s="1333"/>
      <c r="AD52" s="1333"/>
      <c r="AE52" s="1333"/>
      <c r="AF52" s="1333"/>
      <c r="AG52" s="1333"/>
      <c r="AH52" s="1333"/>
      <c r="AI52" s="1333"/>
      <c r="AJ52" s="1333"/>
      <c r="AK52" s="1333"/>
      <c r="AL52" s="1333"/>
      <c r="AM52" s="1333"/>
      <c r="AN52" s="1333"/>
      <c r="AO52" s="1333"/>
      <c r="AP52" s="1333"/>
      <c r="AQ52" s="1333"/>
      <c r="AR52" s="1333"/>
      <c r="AS52" s="1333"/>
      <c r="AU52" s="798"/>
      <c r="AV52" s="798" t="str">
        <f>IF(T52="","",T52)</f>
        <v>Добавить централизованную систему для дифференциации</v>
      </c>
      <c r="AW52" s="798"/>
      <c r="AX52" s="798"/>
      <c r="AY52" s="527">
        <v>0</v>
      </c>
    </row>
    <row s="1651" customFormat="1" customHeight="1" ht="0">
      <c r="A53" s="1352" t="s">
        <v>271</v>
      </c>
      <c r="B53" s="1352"/>
      <c r="C53" s="1352"/>
      <c r="D53" s="1352"/>
      <c r="E53" s="2286"/>
      <c r="F53" s="1352"/>
      <c r="G53" s="1352"/>
      <c r="H53" s="1352"/>
      <c r="I53" s="1352"/>
      <c r="J53" s="1352"/>
      <c r="K53" s="1352"/>
      <c r="L53" s="1355"/>
      <c r="M53" s="1330"/>
      <c r="N53" s="1330"/>
      <c r="O53" s="527"/>
      <c r="P53" s="389"/>
      <c r="Q53" s="1353"/>
      <c r="R53" s="389"/>
      <c r="S53" s="1331"/>
      <c r="T53" s="1334" t="s">
        <v>431</v>
      </c>
      <c r="U53" s="1333"/>
      <c r="V53" s="1333"/>
      <c r="W53" s="1333"/>
      <c r="X53" s="1333"/>
      <c r="Y53" s="1333"/>
      <c r="Z53" s="1333"/>
      <c r="AA53" s="1333"/>
      <c r="AB53" s="1333"/>
      <c r="AC53" s="1333"/>
      <c r="AD53" s="1333"/>
      <c r="AE53" s="1333"/>
      <c r="AF53" s="1333"/>
      <c r="AG53" s="1333"/>
      <c r="AH53" s="1333"/>
      <c r="AI53" s="1333"/>
      <c r="AJ53" s="1333"/>
      <c r="AK53" s="1333"/>
      <c r="AL53" s="1333"/>
      <c r="AM53" s="1333"/>
      <c r="AN53" s="1333"/>
      <c r="AO53" s="1333"/>
      <c r="AP53" s="1333"/>
      <c r="AQ53" s="1333"/>
      <c r="AR53" s="1333"/>
      <c r="AS53" s="1333"/>
      <c r="AU53" s="509"/>
      <c r="AV53" s="509" t="str">
        <f>IF(T53="","",T53)</f>
        <v>Добавить территорию для дифференциации</v>
      </c>
      <c r="AW53" s="509"/>
      <c r="AX53" s="509"/>
      <c r="AY53" s="520">
        <v>0</v>
      </c>
    </row>
    <row s="1651" customFormat="1" customHeight="1" ht="0">
      <c r="A54" s="1323"/>
      <c r="B54" s="1323"/>
      <c r="C54" s="1323"/>
      <c r="D54" s="1323"/>
      <c r="E54" s="1352"/>
      <c r="F54" s="1323"/>
      <c r="G54" s="1323"/>
      <c r="H54" s="1323"/>
      <c r="I54" s="1323"/>
      <c r="J54" s="1323"/>
      <c r="K54" s="1323"/>
      <c r="L54" s="1503"/>
      <c r="M54" s="1330"/>
      <c r="N54" s="1330"/>
      <c r="P54" s="1325"/>
      <c r="Q54" s="1326"/>
      <c r="R54" s="1325"/>
      <c r="S54" s="1331"/>
      <c r="T54" s="1334" t="s">
        <v>459</v>
      </c>
      <c r="U54" s="1333"/>
      <c r="V54" s="1333"/>
      <c r="W54" s="1333"/>
      <c r="X54" s="1333"/>
      <c r="Y54" s="1333"/>
      <c r="Z54" s="1333"/>
      <c r="AA54" s="1333"/>
      <c r="AB54" s="1333"/>
      <c r="AC54" s="1333"/>
      <c r="AD54" s="1333"/>
      <c r="AE54" s="1333"/>
      <c r="AF54" s="1333"/>
      <c r="AG54" s="1333"/>
      <c r="AH54" s="1333"/>
      <c r="AI54" s="1333"/>
      <c r="AJ54" s="1333"/>
      <c r="AK54" s="1333"/>
      <c r="AL54" s="1333"/>
      <c r="AM54" s="1333"/>
      <c r="AN54" s="1333"/>
      <c r="AO54" s="1333"/>
      <c r="AP54" s="1333"/>
      <c r="AQ54" s="1333"/>
      <c r="AR54" s="1333"/>
      <c r="AS54" s="1333"/>
      <c r="AU54" s="798"/>
      <c r="AV54" s="798" t="str">
        <f>IF(T54="","",T54)</f>
        <v>Добавить наименование тарифа</v>
      </c>
      <c r="AW54" s="798"/>
      <c r="AX54" s="798"/>
      <c r="AY54" s="527">
        <v>0</v>
      </c>
    </row>
    <row customHeight="1" ht="11.549999999999999">
      <c r="M55" s="1169"/>
      <c r="N55" s="1169"/>
      <c r="O55" s="546"/>
      <c r="P55" s="1164"/>
      <c r="Q55" s="1164"/>
      <c r="R55" s="1164"/>
      <c r="S55" s="1164"/>
      <c r="AT55" s="1164"/>
      <c r="AU55" s="1164"/>
      <c r="AV55" s="1164"/>
      <c r="AW55" s="1164"/>
      <c r="AX55" s="1164"/>
      <c r="AY55" s="1164">
        <v>11</v>
      </c>
    </row>
    <row customHeight="1" ht="14.699999999999998">
      <c r="O56" s="546"/>
      <c r="S56" s="1262"/>
      <c r="T56" s="2313"/>
      <c r="U56" s="2313"/>
      <c r="V56" s="2313"/>
      <c r="W56" s="2313"/>
      <c r="X56" s="2313"/>
      <c r="Y56" s="2313"/>
      <c r="Z56" s="2313"/>
      <c r="AA56" s="2313"/>
      <c r="AB56" s="2313"/>
      <c r="AC56" s="2313"/>
      <c r="AD56" s="2313"/>
      <c r="AE56" s="2313"/>
      <c r="AF56" s="2313"/>
      <c r="AG56" s="2313"/>
      <c r="AH56" s="2313"/>
      <c r="AI56" s="2313"/>
      <c r="AJ56" s="2313"/>
      <c r="AK56" s="2313"/>
      <c r="AL56" s="2313"/>
      <c r="AM56" s="2313"/>
      <c r="AN56" s="2313"/>
      <c r="AO56" s="2313"/>
      <c r="AP56" s="2313"/>
      <c r="AQ56" s="2313"/>
      <c r="AR56" s="2313"/>
      <c r="AS56" s="2313"/>
      <c r="AY56" s="1164">
        <v>14</v>
      </c>
    </row>
    <row customHeight="1" ht="14.699999999999998">
      <c r="O57" s="546"/>
      <c r="AY57" s="1164">
        <v>14</v>
      </c>
    </row>
    <row customHeight="1" ht="14.699999999999998">
      <c r="O58" s="546"/>
      <c r="S58" s="1262"/>
      <c r="T58" s="2313"/>
      <c r="U58" s="2313"/>
      <c r="V58" s="2313"/>
      <c r="W58" s="2313"/>
      <c r="X58" s="2313"/>
      <c r="Y58" s="2313"/>
      <c r="Z58" s="2313"/>
      <c r="AA58" s="2313"/>
      <c r="AB58" s="2313"/>
      <c r="AC58" s="2313"/>
      <c r="AD58" s="2313"/>
      <c r="AE58" s="2313"/>
      <c r="AF58" s="2313"/>
      <c r="AG58" s="2313"/>
      <c r="AH58" s="2313"/>
      <c r="AI58" s="2313"/>
      <c r="AJ58" s="2313"/>
      <c r="AK58" s="2313"/>
      <c r="AL58" s="2313"/>
      <c r="AM58" s="2313"/>
      <c r="AN58" s="2313"/>
      <c r="AO58" s="2313"/>
      <c r="AP58" s="2313"/>
      <c r="AQ58" s="2313"/>
      <c r="AR58" s="2313"/>
      <c r="AS58" s="2313"/>
      <c r="AY58" s="1164">
        <v>14</v>
      </c>
    </row>
    <row customHeight="1" ht="22.5" hidden="1">
      <c r="A59" s="1169" t="s">
        <v>83</v>
      </c>
      <c r="B59" s="1169">
        <v>0</v>
      </c>
      <c r="C59" s="1169">
        <v>0</v>
      </c>
      <c r="D59" s="1169">
        <v>0</v>
      </c>
      <c r="E59" s="1169">
        <v>0</v>
      </c>
      <c r="F59" s="1169">
        <v>0</v>
      </c>
      <c r="G59" s="1169">
        <v>0</v>
      </c>
      <c r="H59" s="1169">
        <v>0</v>
      </c>
      <c r="I59" s="1169">
        <v>0</v>
      </c>
      <c r="J59" s="1169">
        <v>0</v>
      </c>
      <c r="K59" s="1169">
        <v>0</v>
      </c>
      <c r="L59" s="1487">
        <v>0</v>
      </c>
      <c r="M59" s="1371">
        <v>0</v>
      </c>
      <c r="N59" s="1371">
        <v>0</v>
      </c>
      <c r="O59" s="1371">
        <v>0</v>
      </c>
      <c r="P59" s="1482">
        <v>3</v>
      </c>
      <c r="Q59" s="353">
        <v>3</v>
      </c>
      <c r="R59" s="353">
        <v>3</v>
      </c>
      <c r="S59" s="590">
        <v>12</v>
      </c>
      <c r="T59" s="1164">
        <v>35</v>
      </c>
      <c r="U59" s="1164">
        <v>0</v>
      </c>
      <c r="V59" s="1164">
        <v>0</v>
      </c>
      <c r="W59" s="1640">
        <v>0</v>
      </c>
      <c r="X59" s="1640">
        <v>0</v>
      </c>
      <c r="Y59" s="1640">
        <v>0</v>
      </c>
      <c r="Z59" s="1640">
        <v>0</v>
      </c>
      <c r="AA59" s="1640">
        <v>0</v>
      </c>
      <c r="AB59" s="1164">
        <v>0</v>
      </c>
      <c r="AC59" s="1164">
        <v>0</v>
      </c>
      <c r="AD59" s="1164">
        <v>0</v>
      </c>
      <c r="AE59" s="1164">
        <v>0</v>
      </c>
      <c r="AF59" s="1164">
        <v>0</v>
      </c>
      <c r="AG59" s="1164">
        <v>19</v>
      </c>
      <c r="AH59" s="1640">
        <v>19</v>
      </c>
      <c r="AI59" s="1640">
        <v>19</v>
      </c>
      <c r="AJ59" s="1640">
        <v>19</v>
      </c>
      <c r="AK59" s="1640">
        <v>19</v>
      </c>
      <c r="AL59" s="1640">
        <v>19</v>
      </c>
      <c r="AM59" s="1164">
        <v>19</v>
      </c>
      <c r="AN59" s="1164">
        <v>11</v>
      </c>
      <c r="AO59" s="1164">
        <v>3</v>
      </c>
      <c r="AP59" s="1164">
        <v>11</v>
      </c>
      <c r="AQ59" s="1164">
        <v>0</v>
      </c>
      <c r="AR59" s="1164">
        <v>4</v>
      </c>
      <c r="AS59" s="1164">
        <v>115</v>
      </c>
      <c r="AT59" s="520">
        <v>10</v>
      </c>
      <c r="AU59" s="520">
        <v>10</v>
      </c>
      <c r="AV59" s="520">
        <v>10</v>
      </c>
      <c r="AW59" s="520">
        <v>10</v>
      </c>
      <c r="AX59" s="520">
        <v>10</v>
      </c>
      <c r="AY59" s="1164">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20C1C5-9F94-1FEE-3FDF-0.3FD7CF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75" width="11.57421875" hidden="1" customWidth="1"/>
    <col min="2" max="2" style="1375" width="11.00390625" hidden="1" customWidth="1"/>
    <col min="3" max="3" style="1375" width="10.57421875" hidden="1"/>
    <col min="4" max="4" style="1375" width="12.8515625" hidden="1" customWidth="1"/>
    <col min="5" max="5" style="1375" width="10.00390625" hidden="1" customWidth="1"/>
    <col min="6" max="6" style="1375" width="8.7109375" hidden="1" customWidth="1"/>
    <col min="7" max="7" style="1375" width="7.57421875" hidden="1" customWidth="1"/>
    <col min="8" max="8" style="1375" width="11.421875" hidden="1" customWidth="1"/>
    <col min="9" max="9" style="1375" width="12.00390625" hidden="1" customWidth="1"/>
    <col min="10" max="10" style="1375" width="9.8515625" hidden="1" customWidth="1"/>
    <col min="11" max="11" style="1375" width="11.421875" hidden="1" customWidth="1"/>
    <col min="12" max="12" style="2635" width="19.140625" hidden="1" customWidth="1"/>
    <col min="13" max="14" style="1784" width="12.28125" hidden="1" customWidth="1"/>
    <col min="15" max="15" style="1784" width="23.421875" hidden="1" customWidth="1"/>
    <col min="16" max="16" style="1784" width="3.7109375" hidden="1" customWidth="1"/>
    <col min="17" max="17" style="1380" width="3.7109375" hidden="1" customWidth="1"/>
    <col min="18" max="18" style="353" width="3.00390625" customWidth="1"/>
    <col min="19" max="19" style="2435" width="12.00390625" customWidth="1"/>
    <col min="20" max="20" style="1644" width="31.00390625" customWidth="1"/>
    <col min="21" max="21" style="1644" width="0.140625" customWidth="1"/>
    <col min="22" max="25" style="1644" width="21.7109375" hidden="1" customWidth="1"/>
    <col min="26" max="26" style="1644" width="11.7109375" hidden="1" customWidth="1"/>
    <col min="27" max="27" style="1644" width="3.7109375" hidden="1" customWidth="1"/>
    <col min="28" max="28" style="1644" width="11.7109375" hidden="1" customWidth="1"/>
    <col min="29" max="29" style="1644" width="8.57421875" hidden="1" customWidth="1"/>
    <col min="30" max="30" style="1644" width="3.7109375" customWidth="1"/>
    <col min="31" max="32" style="1644" width="3.00390625" customWidth="1"/>
    <col min="33" max="33" style="1644" width="24.00390625" customWidth="1"/>
    <col min="34" max="34" style="1644" width="3.7109375" customWidth="1"/>
    <col min="35" max="36" style="1644" width="3.00390625" customWidth="1"/>
    <col min="37" max="37" style="1644" width="24.00390625" customWidth="1"/>
    <col min="38" max="38" style="1644" width="3.7109375" customWidth="1"/>
    <col min="39" max="40" style="1644" width="3.00390625" customWidth="1"/>
    <col min="41" max="41" style="1644" width="18.00390625" customWidth="1"/>
    <col min="42" max="42" style="1644" width="3.7109375" customWidth="1"/>
    <col min="43" max="44" style="1644" width="3.00390625" customWidth="1"/>
    <col min="45" max="45" style="1644" width="18.00390625" customWidth="1"/>
    <col min="46" max="49" style="1644" width="21.00390625" customWidth="1"/>
    <col min="50" max="50" style="1644" width="11.00390625" customWidth="1"/>
    <col min="51" max="51" style="1644" width="3.7109375" customWidth="1"/>
    <col min="52" max="52" style="1644" width="11.00390625" customWidth="1"/>
    <col min="53" max="53" style="1644" width="8.57421875" hidden="1" customWidth="1"/>
    <col min="54" max="54" style="1644" width="4.00390625" customWidth="1"/>
    <col min="55" max="55" style="1644" width="115.00390625" customWidth="1"/>
    <col min="56" max="60" style="1651" width="10.00390625" customWidth="1"/>
    <col min="61" max="61" style="1644" width="10.57421875" hidden="1"/>
  </cols>
  <sheetData>
    <row customHeight="1" ht="22.5" hidden="1">
      <c r="W1" s="336"/>
      <c r="Y1" s="336"/>
      <c r="Z1" s="336"/>
      <c r="AW1" s="336"/>
      <c r="AX1" s="336"/>
      <c r="BI1" s="1164" t="s">
        <v>14</v>
      </c>
    </row>
    <row customHeight="1" ht="21" hidden="1">
      <c r="A2" s="1372"/>
      <c r="B2" s="1372"/>
      <c r="C2" s="1372"/>
      <c r="D2" s="1372"/>
      <c r="E2" s="2286">
        <v>1</v>
      </c>
      <c r="F2" s="1372"/>
      <c r="G2" s="1372"/>
      <c r="H2" s="1372"/>
      <c r="I2" s="1372"/>
      <c r="J2" s="1372"/>
      <c r="K2" s="1372"/>
      <c r="L2" s="1373"/>
      <c r="M2" s="1374"/>
      <c r="N2" s="1374"/>
      <c r="O2" s="1374"/>
      <c r="P2" s="1418"/>
      <c r="Q2" s="882"/>
      <c r="R2" s="364"/>
      <c r="S2" s="1502">
        <f>INDEX(PT_DIFFERENTIATION_NUM_NTAR,MATCH(A2,PT_DIFFERENTIATION_NTAR_ID,0))</f>
      </c>
      <c r="T2" s="307" t="s">
        <v>140</v>
      </c>
      <c r="U2" s="309"/>
      <c r="V2" s="2271"/>
      <c r="W2" s="2271"/>
      <c r="X2" s="2271"/>
      <c r="Y2" s="2271"/>
      <c r="Z2" s="2271"/>
      <c r="AA2" s="2271"/>
      <c r="AB2" s="2271"/>
      <c r="AC2" s="2272"/>
      <c r="AD2" s="2270">
        <f>INDEX(PT_DIFFERENTIATION_NTAR,MATCH(A2,PT_DIFFERENTIATION_NTAR_ID,0))</f>
      </c>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2"/>
      <c r="BC2"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9"/>
      <c r="BF2" s="509" t="str">
        <f>IF(T2="","",T2)</f>
        <v>Наименование тарифа</v>
      </c>
      <c r="BG2" s="509"/>
      <c r="BH2" s="509"/>
      <c r="BI2" s="1164">
        <v>0</v>
      </c>
    </row>
    <row customHeight="1" ht="21" hidden="1">
      <c r="A3" s="1372"/>
      <c r="B3" s="1372"/>
      <c r="C3" s="1372"/>
      <c r="D3" s="1372"/>
      <c r="E3" s="2287"/>
      <c r="F3" s="2286">
        <v>1</v>
      </c>
      <c r="G3" s="1372"/>
      <c r="H3" s="1372"/>
      <c r="I3" s="1372"/>
      <c r="J3" s="1372"/>
      <c r="K3" s="1372"/>
      <c r="L3" s="1373"/>
      <c r="M3" s="1374"/>
      <c r="N3" s="1374"/>
      <c r="O3" s="1374"/>
      <c r="P3" s="1419"/>
      <c r="Q3" s="1420"/>
      <c r="R3" s="362"/>
      <c r="S3" s="1502">
        <f>INDEX(PT_DIFFERENTIATION_NUM_TER,MATCH(B3,PT_DIFFERENTIATION_TER_ID,0))</f>
      </c>
      <c r="T3" s="317" t="s">
        <v>412</v>
      </c>
      <c r="U3" s="309"/>
      <c r="V3" s="2271"/>
      <c r="W3" s="2271"/>
      <c r="X3" s="2271"/>
      <c r="Y3" s="2271"/>
      <c r="Z3" s="2271"/>
      <c r="AA3" s="2271"/>
      <c r="AB3" s="2271"/>
      <c r="AC3" s="2272"/>
      <c r="AD3" s="2270">
        <f>INDEX(PT_DIFFERENTIATION_TER,MATCH(B3,PT_DIFFERENTIATION_TER_ID,0))</f>
      </c>
      <c r="AE3" s="2271"/>
      <c r="AF3" s="2271"/>
      <c r="AG3" s="2271"/>
      <c r="AH3" s="2271"/>
      <c r="AI3" s="2271"/>
      <c r="AJ3" s="2271"/>
      <c r="AK3" s="2271"/>
      <c r="AL3" s="2271"/>
      <c r="AM3" s="2271"/>
      <c r="AN3" s="2271"/>
      <c r="AO3" s="2271"/>
      <c r="AP3" s="2271"/>
      <c r="AQ3" s="2271"/>
      <c r="AR3" s="2271"/>
      <c r="AS3" s="2271"/>
      <c r="AT3" s="2271"/>
      <c r="AU3" s="2271"/>
      <c r="AV3" s="2271"/>
      <c r="AW3" s="2271"/>
      <c r="AX3" s="2271"/>
      <c r="AY3" s="2271"/>
      <c r="AZ3" s="2271"/>
      <c r="BA3" s="2271"/>
      <c r="BB3" s="2272"/>
      <c r="BC3" s="1267" t="s">
        <v>413</v>
      </c>
      <c r="BE3" s="509"/>
      <c r="BF3" s="509" t="str">
        <f>IF(T3="","",T3)</f>
        <v>Территория действия тарифа</v>
      </c>
      <c r="BG3" s="509"/>
      <c r="BH3" s="509"/>
      <c r="BI3" s="1164">
        <v>0</v>
      </c>
    </row>
    <row customHeight="1" ht="33.75" hidden="1">
      <c r="A4" s="1372"/>
      <c r="B4" s="1372"/>
      <c r="C4" s="1372"/>
      <c r="D4" s="1372"/>
      <c r="E4" s="2287"/>
      <c r="F4" s="2287"/>
      <c r="G4" s="2286">
        <v>1</v>
      </c>
      <c r="H4" s="1372"/>
      <c r="I4" s="1372"/>
      <c r="J4" s="1372"/>
      <c r="K4" s="1372"/>
      <c r="L4" s="1373"/>
      <c r="M4" s="1374"/>
      <c r="N4" s="1374"/>
      <c r="O4" s="1374"/>
      <c r="P4" s="1421"/>
      <c r="Q4" s="1420"/>
      <c r="R4" s="362"/>
      <c r="S4" s="1502">
        <f>INDEX(PT_DIFFERENTIATION_NUM_CS,MATCH(C4,PT_DIFFERENTIATION_CS_ID,0))</f>
      </c>
      <c r="T4" s="318" t="s">
        <v>543</v>
      </c>
      <c r="U4" s="309"/>
      <c r="V4" s="2271"/>
      <c r="W4" s="2271"/>
      <c r="X4" s="2271"/>
      <c r="Y4" s="2271"/>
      <c r="Z4" s="2271"/>
      <c r="AA4" s="2271"/>
      <c r="AB4" s="2271"/>
      <c r="AC4" s="2272"/>
      <c r="AD4" s="2270">
        <f>INDEX(PT_DIFFERENTIATION_CS,MATCH(C4,PT_DIFFERENTIATION_CS_ID,0))</f>
      </c>
      <c r="AE4" s="2271"/>
      <c r="AF4" s="2271"/>
      <c r="AG4" s="2271"/>
      <c r="AH4" s="2271"/>
      <c r="AI4" s="2271"/>
      <c r="AJ4" s="2271"/>
      <c r="AK4" s="2271"/>
      <c r="AL4" s="2271"/>
      <c r="AM4" s="2271"/>
      <c r="AN4" s="2271"/>
      <c r="AO4" s="2271"/>
      <c r="AP4" s="2271"/>
      <c r="AQ4" s="2271"/>
      <c r="AR4" s="2271"/>
      <c r="AS4" s="2271"/>
      <c r="AT4" s="2271"/>
      <c r="AU4" s="2271"/>
      <c r="AV4" s="2271"/>
      <c r="AW4" s="2271"/>
      <c r="AX4" s="2271"/>
      <c r="AY4" s="2271"/>
      <c r="AZ4" s="2271"/>
      <c r="BA4" s="2271"/>
      <c r="BB4" s="2272"/>
      <c r="BC4" s="1267" t="s">
        <v>544</v>
      </c>
      <c r="BE4" s="509"/>
      <c r="BF4" s="509" t="str">
        <f>IF(T4="","",T4)</f>
        <v>Наименование централизованной системы горячего водоснабжения</v>
      </c>
      <c r="BG4" s="509"/>
      <c r="BH4" s="509"/>
      <c r="BI4" s="1164">
        <v>0</v>
      </c>
    </row>
    <row s="1651" customFormat="1" customHeight="1" ht="14.25" hidden="1">
      <c r="A5" s="1352"/>
      <c r="B5" s="1352"/>
      <c r="C5" s="1352"/>
      <c r="D5" s="1352"/>
      <c r="E5" s="2287"/>
      <c r="F5" s="2287"/>
      <c r="G5" s="2287"/>
      <c r="H5" s="2286">
        <v>1</v>
      </c>
      <c r="I5" s="1352"/>
      <c r="J5" s="1352"/>
      <c r="K5" s="1352"/>
      <c r="L5" s="1355"/>
      <c r="M5" s="1324"/>
      <c r="N5" s="1324"/>
      <c r="O5" s="1324"/>
      <c r="P5" s="1506"/>
      <c r="Q5" s="1507"/>
      <c r="R5" s="366"/>
      <c r="S5" s="1051"/>
      <c r="T5" s="1508"/>
      <c r="U5" s="1393"/>
      <c r="V5" s="2325"/>
      <c r="W5" s="2325"/>
      <c r="X5" s="2325"/>
      <c r="Y5" s="2325"/>
      <c r="Z5" s="2325"/>
      <c r="AA5" s="2325"/>
      <c r="AB5" s="2325"/>
      <c r="AC5" s="2326"/>
      <c r="AD5" s="2324"/>
      <c r="AE5" s="2325"/>
      <c r="AF5" s="2325"/>
      <c r="AG5" s="2325"/>
      <c r="AH5" s="2325"/>
      <c r="AI5" s="2325"/>
      <c r="AJ5" s="2325"/>
      <c r="AK5" s="2325"/>
      <c r="AL5" s="2325"/>
      <c r="AM5" s="2325"/>
      <c r="AN5" s="2325"/>
      <c r="AO5" s="2325"/>
      <c r="AP5" s="2325"/>
      <c r="AQ5" s="2325"/>
      <c r="AR5" s="2325"/>
      <c r="AS5" s="2325"/>
      <c r="AT5" s="2325"/>
      <c r="AU5" s="2325"/>
      <c r="AV5" s="2325"/>
      <c r="AW5" s="2325"/>
      <c r="AX5" s="2325"/>
      <c r="AY5" s="2325"/>
      <c r="AZ5" s="2325"/>
      <c r="BA5" s="2325"/>
      <c r="BB5" s="2326"/>
      <c r="BC5" s="1394" t="s">
        <v>417</v>
      </c>
      <c r="BE5" s="509"/>
      <c r="BF5" s="509" t="str">
        <f>IF(T5="","",T5)</f>
        <v/>
      </c>
      <c r="BG5" s="509"/>
      <c r="BH5" s="509"/>
      <c r="BI5" s="520">
        <v>0</v>
      </c>
    </row>
    <row s="1651" customFormat="1" customHeight="1" ht="14.25" hidden="1">
      <c r="A6" s="1352"/>
      <c r="B6" s="1352"/>
      <c r="C6" s="1352"/>
      <c r="D6" s="1352"/>
      <c r="E6" s="2287"/>
      <c r="F6" s="2287"/>
      <c r="G6" s="2287"/>
      <c r="H6" s="2287"/>
      <c r="I6" s="2284" t="str">
        <f>S5&amp;".1"</f>
        <v>.1</v>
      </c>
      <c r="J6" s="1352"/>
      <c r="K6" s="1352"/>
      <c r="L6" s="1355" t="s">
        <v>418</v>
      </c>
      <c r="M6" s="519"/>
      <c r="N6" s="519"/>
      <c r="O6" s="519"/>
      <c r="P6" s="2285">
        <v>1</v>
      </c>
      <c r="Q6" s="1490"/>
      <c r="R6" s="365"/>
      <c r="S6" s="1051"/>
      <c r="T6" s="1392"/>
      <c r="U6" s="1393"/>
      <c r="V6" s="2325"/>
      <c r="W6" s="2325"/>
      <c r="X6" s="2325"/>
      <c r="Y6" s="2325"/>
      <c r="Z6" s="2325"/>
      <c r="AA6" s="2325"/>
      <c r="AB6" s="2325"/>
      <c r="AC6" s="2326"/>
      <c r="AD6" s="2324"/>
      <c r="AE6" s="2325"/>
      <c r="AF6" s="2325"/>
      <c r="AG6" s="2325"/>
      <c r="AH6" s="2325"/>
      <c r="AI6" s="2325"/>
      <c r="AJ6" s="2325"/>
      <c r="AK6" s="2325"/>
      <c r="AL6" s="2325"/>
      <c r="AM6" s="2325"/>
      <c r="AN6" s="2325"/>
      <c r="AO6" s="2325"/>
      <c r="AP6" s="2325"/>
      <c r="AQ6" s="2325"/>
      <c r="AR6" s="2325"/>
      <c r="AS6" s="2325"/>
      <c r="AT6" s="2325"/>
      <c r="AU6" s="2325"/>
      <c r="AV6" s="2325"/>
      <c r="AW6" s="2325"/>
      <c r="AX6" s="2325"/>
      <c r="AY6" s="2325"/>
      <c r="AZ6" s="2325"/>
      <c r="BA6" s="2325"/>
      <c r="BB6" s="2326"/>
      <c r="BC6" s="1394"/>
      <c r="BE6" s="509"/>
      <c r="BF6" s="509" t="str">
        <f>IF(T6="","",T6)</f>
        <v/>
      </c>
      <c r="BG6" s="509"/>
      <c r="BH6" s="509"/>
      <c r="BI6" s="520">
        <v>0</v>
      </c>
    </row>
    <row s="1651" customFormat="1" customHeight="1" ht="14.25" hidden="1">
      <c r="A7" s="1352"/>
      <c r="B7" s="1352"/>
      <c r="C7" s="1352"/>
      <c r="D7" s="1352"/>
      <c r="E7" s="2287"/>
      <c r="F7" s="2287"/>
      <c r="G7" s="2287"/>
      <c r="H7" s="2287"/>
      <c r="I7" s="2314"/>
      <c r="J7" s="2284" t="str">
        <f>S5&amp;".1"</f>
        <v>.1</v>
      </c>
      <c r="K7" s="1352"/>
      <c r="L7" s="1355"/>
      <c r="M7" s="519"/>
      <c r="N7" s="519"/>
      <c r="O7" s="519"/>
      <c r="P7" s="2285"/>
      <c r="Q7" s="2285">
        <v>1</v>
      </c>
      <c r="R7" s="366"/>
      <c r="S7" s="1051"/>
      <c r="T7" s="1408"/>
      <c r="U7" s="1393"/>
      <c r="V7" s="2325"/>
      <c r="W7" s="2325"/>
      <c r="X7" s="2325"/>
      <c r="Y7" s="2325"/>
      <c r="Z7" s="2325"/>
      <c r="AA7" s="2325"/>
      <c r="AB7" s="2325"/>
      <c r="AC7" s="2326"/>
      <c r="AD7" s="2324"/>
      <c r="AE7" s="2325"/>
      <c r="AF7" s="2325"/>
      <c r="AG7" s="2325"/>
      <c r="AH7" s="2325"/>
      <c r="AI7" s="2325"/>
      <c r="AJ7" s="2325"/>
      <c r="AK7" s="2325"/>
      <c r="AL7" s="2325"/>
      <c r="AM7" s="2325"/>
      <c r="AN7" s="2325"/>
      <c r="AO7" s="2325"/>
      <c r="AP7" s="2325"/>
      <c r="AQ7" s="2325"/>
      <c r="AR7" s="2325"/>
      <c r="AS7" s="2325"/>
      <c r="AT7" s="2325"/>
      <c r="AU7" s="2325"/>
      <c r="AV7" s="2325"/>
      <c r="AW7" s="2325"/>
      <c r="AX7" s="2325"/>
      <c r="AY7" s="2325"/>
      <c r="AZ7" s="2325"/>
      <c r="BA7" s="2325"/>
      <c r="BB7" s="2326"/>
      <c r="BC7" s="1394"/>
      <c r="BE7" s="509"/>
      <c r="BF7" s="509" t="str">
        <f>IF(T7="","",T7)</f>
        <v/>
      </c>
      <c r="BG7" s="509"/>
      <c r="BH7" s="509"/>
      <c r="BI7" s="520">
        <v>0</v>
      </c>
    </row>
    <row customHeight="1" ht="11.25" hidden="1">
      <c r="A8" s="1372"/>
      <c r="B8" s="1372"/>
      <c r="C8" s="1372"/>
      <c r="D8" s="1372"/>
      <c r="E8" s="2287"/>
      <c r="F8" s="2287"/>
      <c r="G8" s="2287"/>
      <c r="H8" s="2287"/>
      <c r="I8" s="2314"/>
      <c r="J8" s="2314"/>
      <c r="K8" s="2284">
        <f>S4&amp;".1"</f>
      </c>
      <c r="L8" s="1373"/>
      <c r="P8" s="2285"/>
      <c r="Q8" s="2285"/>
      <c r="R8" s="2375">
        <v>1</v>
      </c>
      <c r="S8" s="2369">
        <f>$K8</f>
      </c>
      <c r="T8" s="2388"/>
      <c r="U8" s="309"/>
      <c r="V8" s="760"/>
      <c r="W8" s="1266"/>
      <c r="X8" s="760"/>
      <c r="Y8" s="1266"/>
      <c r="Z8" s="1742"/>
      <c r="AA8" s="1478" t="s">
        <v>63</v>
      </c>
      <c r="AB8" s="1742"/>
      <c r="AC8" s="1478" t="s">
        <v>63</v>
      </c>
      <c r="AD8" s="2213" t="s">
        <v>63</v>
      </c>
      <c r="AE8" s="2354"/>
      <c r="AF8" s="2233">
        <v>1</v>
      </c>
      <c r="AG8" s="2391"/>
      <c r="AH8" s="2135" t="s">
        <v>63</v>
      </c>
      <c r="AI8" s="2354"/>
      <c r="AJ8" s="2233">
        <v>1</v>
      </c>
      <c r="AK8" s="2355" t="s">
        <v>22</v>
      </c>
      <c r="AL8" s="2135" t="s">
        <v>63</v>
      </c>
      <c r="AM8" s="2220"/>
      <c r="AN8" s="2233">
        <v>1</v>
      </c>
      <c r="AO8" s="2385"/>
      <c r="AP8" s="2386" t="s">
        <v>63</v>
      </c>
      <c r="AQ8" s="320"/>
      <c r="AR8" s="1495">
        <v>1</v>
      </c>
      <c r="AS8" s="1501" t="s">
        <v>22</v>
      </c>
      <c r="AT8" s="760"/>
      <c r="AU8" s="1266"/>
      <c r="AV8" s="760"/>
      <c r="AW8" s="1266"/>
      <c r="AX8" s="1742"/>
      <c r="AY8" s="1478" t="s">
        <v>63</v>
      </c>
      <c r="AZ8" s="1742"/>
      <c r="BA8" s="1478" t="s">
        <v>63</v>
      </c>
      <c r="BB8" s="1357"/>
      <c r="BC8" s="2281" t="s">
        <v>512</v>
      </c>
      <c r="BE8" s="509"/>
      <c r="BF8" s="509" t="str">
        <f>IF(T8="","",T8)</f>
        <v/>
      </c>
      <c r="BG8" s="509"/>
      <c r="BH8" s="509"/>
      <c r="BI8" s="1164">
        <v>0</v>
      </c>
    </row>
    <row customHeight="1" ht="11.25" hidden="1">
      <c r="A9" s="1372"/>
      <c r="B9" s="1372"/>
      <c r="C9" s="1372"/>
      <c r="D9" s="1372"/>
      <c r="E9" s="2287"/>
      <c r="F9" s="2287"/>
      <c r="G9" s="2287"/>
      <c r="H9" s="2287"/>
      <c r="I9" s="2314"/>
      <c r="J9" s="2314"/>
      <c r="K9" s="2284"/>
      <c r="L9" s="1373"/>
      <c r="P9" s="2285"/>
      <c r="Q9" s="2285"/>
      <c r="R9" s="2375"/>
      <c r="S9" s="2370"/>
      <c r="T9" s="2389"/>
      <c r="U9" s="309"/>
      <c r="V9" s="1402"/>
      <c r="W9" s="1505"/>
      <c r="X9" s="1402"/>
      <c r="Y9" s="1505"/>
      <c r="Z9" s="1402"/>
      <c r="AA9" s="1402"/>
      <c r="AB9" s="1402"/>
      <c r="AC9" s="1402"/>
      <c r="AD9" s="2214"/>
      <c r="AE9" s="2354"/>
      <c r="AF9" s="2233"/>
      <c r="AG9" s="2391"/>
      <c r="AH9" s="2135"/>
      <c r="AI9" s="2354"/>
      <c r="AJ9" s="2233"/>
      <c r="AK9" s="2355"/>
      <c r="AL9" s="2135"/>
      <c r="AM9" s="2228"/>
      <c r="AN9" s="2233"/>
      <c r="AO9" s="2385"/>
      <c r="AP9" s="2387"/>
      <c r="AQ9" s="325"/>
      <c r="AR9" s="425"/>
      <c r="AS9" s="425" t="s">
        <v>513</v>
      </c>
      <c r="AT9" s="1402"/>
      <c r="AU9" s="1505"/>
      <c r="AV9" s="1402"/>
      <c r="AW9" s="1505"/>
      <c r="AX9" s="1402"/>
      <c r="AY9" s="1402"/>
      <c r="AZ9" s="1402"/>
      <c r="BA9" s="1402"/>
      <c r="BB9" s="1406"/>
      <c r="BC9" s="2282"/>
      <c r="BE9" s="509"/>
      <c r="BF9" s="509"/>
      <c r="BG9" s="509"/>
      <c r="BH9" s="509"/>
      <c r="BI9" s="1164">
        <v>0</v>
      </c>
    </row>
    <row customHeight="1" ht="11.25" hidden="1">
      <c r="A10" s="1372"/>
      <c r="B10" s="1372"/>
      <c r="C10" s="1372"/>
      <c r="D10" s="1372"/>
      <c r="E10" s="2287"/>
      <c r="F10" s="2287"/>
      <c r="G10" s="2287"/>
      <c r="H10" s="2287"/>
      <c r="I10" s="2314"/>
      <c r="J10" s="2314"/>
      <c r="K10" s="2284"/>
      <c r="L10" s="1373"/>
      <c r="P10" s="2285"/>
      <c r="Q10" s="2285"/>
      <c r="R10" s="2375"/>
      <c r="S10" s="2370"/>
      <c r="T10" s="2389"/>
      <c r="U10" s="309"/>
      <c r="V10" s="1402"/>
      <c r="W10" s="1505"/>
      <c r="X10" s="1402"/>
      <c r="Y10" s="1505"/>
      <c r="Z10" s="1402"/>
      <c r="AA10" s="1402"/>
      <c r="AB10" s="1402"/>
      <c r="AC10" s="1402"/>
      <c r="AD10" s="2214"/>
      <c r="AE10" s="2354"/>
      <c r="AF10" s="2233"/>
      <c r="AG10" s="2391"/>
      <c r="AH10" s="2135"/>
      <c r="AI10" s="2354"/>
      <c r="AJ10" s="2233"/>
      <c r="AK10" s="2355"/>
      <c r="AL10" s="2135"/>
      <c r="AM10" s="325"/>
      <c r="AN10" s="1509"/>
      <c r="AO10" s="1509" t="s">
        <v>514</v>
      </c>
      <c r="AP10" s="425"/>
      <c r="AQ10" s="425"/>
      <c r="AR10" s="425"/>
      <c r="AS10" s="1402"/>
      <c r="AT10" s="1402"/>
      <c r="AU10" s="1505"/>
      <c r="AV10" s="1402"/>
      <c r="AW10" s="1505"/>
      <c r="AX10" s="1402"/>
      <c r="AY10" s="1402"/>
      <c r="AZ10" s="1402"/>
      <c r="BA10" s="1402"/>
      <c r="BB10" s="1406"/>
      <c r="BC10" s="2282"/>
      <c r="BE10" s="509"/>
      <c r="BF10" s="509"/>
      <c r="BG10" s="509"/>
      <c r="BH10" s="509"/>
      <c r="BI10" s="1164">
        <v>0</v>
      </c>
    </row>
    <row customHeight="1" ht="11.25" hidden="1">
      <c r="A11" s="1372"/>
      <c r="B11" s="1372"/>
      <c r="C11" s="1372"/>
      <c r="D11" s="1372"/>
      <c r="E11" s="2287"/>
      <c r="F11" s="2287"/>
      <c r="G11" s="2287"/>
      <c r="H11" s="2287"/>
      <c r="I11" s="2314"/>
      <c r="J11" s="2314"/>
      <c r="K11" s="2284"/>
      <c r="L11" s="1373"/>
      <c r="P11" s="2285"/>
      <c r="Q11" s="2285"/>
      <c r="R11" s="2375"/>
      <c r="S11" s="2370"/>
      <c r="T11" s="2389"/>
      <c r="U11" s="309"/>
      <c r="V11" s="1402"/>
      <c r="W11" s="1505"/>
      <c r="X11" s="1402"/>
      <c r="Y11" s="1505"/>
      <c r="Z11" s="1402"/>
      <c r="AA11" s="1402"/>
      <c r="AB11" s="1402"/>
      <c r="AC11" s="1402"/>
      <c r="AD11" s="2214"/>
      <c r="AE11" s="2354"/>
      <c r="AF11" s="2233"/>
      <c r="AG11" s="2391"/>
      <c r="AH11" s="2135"/>
      <c r="AI11" s="303"/>
      <c r="AJ11" s="424"/>
      <c r="AK11" s="322" t="s">
        <v>515</v>
      </c>
      <c r="AL11" s="1402"/>
      <c r="AM11" s="1402"/>
      <c r="AN11" s="1402"/>
      <c r="AO11" s="1402"/>
      <c r="AP11" s="1402"/>
      <c r="AQ11" s="1402"/>
      <c r="AR11" s="1402"/>
      <c r="AS11" s="1402"/>
      <c r="AT11" s="1402"/>
      <c r="AU11" s="1505"/>
      <c r="AV11" s="1402"/>
      <c r="AW11" s="1505"/>
      <c r="AX11" s="1402"/>
      <c r="AY11" s="1402"/>
      <c r="AZ11" s="1402"/>
      <c r="BA11" s="1402"/>
      <c r="BB11" s="1406"/>
      <c r="BC11" s="2282"/>
      <c r="BE11" s="509"/>
      <c r="BF11" s="509"/>
      <c r="BG11" s="509"/>
      <c r="BH11" s="509"/>
      <c r="BI11" s="1164">
        <v>0</v>
      </c>
    </row>
    <row customHeight="1" ht="11.25" hidden="1">
      <c r="A12" s="1372"/>
      <c r="B12" s="1372"/>
      <c r="C12" s="1372"/>
      <c r="D12" s="1372"/>
      <c r="E12" s="2287"/>
      <c r="F12" s="2287"/>
      <c r="G12" s="2287"/>
      <c r="H12" s="2287"/>
      <c r="I12" s="2314"/>
      <c r="J12" s="2314"/>
      <c r="K12" s="2284"/>
      <c r="L12" s="1373"/>
      <c r="P12" s="2285"/>
      <c r="Q12" s="2285"/>
      <c r="R12" s="2375"/>
      <c r="S12" s="2371"/>
      <c r="T12" s="2390"/>
      <c r="U12" s="309"/>
      <c r="V12" s="1402"/>
      <c r="W12" s="1403" t="str">
        <f>Z8&amp;"-"&amp;AB8</f>
        <v>-</v>
      </c>
      <c r="X12" s="1402"/>
      <c r="Y12" s="1403" t="str">
        <f>AB8&amp;"-"&amp;AD8</f>
        <v>-да</v>
      </c>
      <c r="Z12" s="1402"/>
      <c r="AA12" s="1402"/>
      <c r="AB12" s="1402"/>
      <c r="AC12" s="1402"/>
      <c r="AD12" s="2140"/>
      <c r="AE12" s="321"/>
      <c r="AF12" s="323"/>
      <c r="AG12" s="425" t="s">
        <v>516</v>
      </c>
      <c r="AH12" s="1402"/>
      <c r="AI12" s="1402"/>
      <c r="AJ12" s="1402"/>
      <c r="AK12" s="1402"/>
      <c r="AL12" s="1402"/>
      <c r="AM12" s="1402"/>
      <c r="AN12" s="1402"/>
      <c r="AO12" s="1402"/>
      <c r="AP12" s="1402"/>
      <c r="AQ12" s="1402"/>
      <c r="AR12" s="1402"/>
      <c r="AS12" s="1402"/>
      <c r="AT12" s="1402"/>
      <c r="AU12" s="1403" t="str">
        <f>AX8&amp;"-"&amp;AZ8</f>
        <v>-</v>
      </c>
      <c r="AV12" s="1402"/>
      <c r="AW12" s="1403" t="str">
        <f>AZ8&amp;"-"&amp;BB8</f>
        <v>-</v>
      </c>
      <c r="AX12" s="1402"/>
      <c r="AY12" s="1402"/>
      <c r="AZ12" s="1402"/>
      <c r="BA12" s="1402"/>
      <c r="BB12" s="1405" t="str">
        <f>BE8&amp;"-"&amp;BG8</f>
        <v>-</v>
      </c>
      <c r="BC12" s="2282"/>
      <c r="BE12" s="509"/>
      <c r="BF12" s="509" t="str">
        <f>IF(T12="","",T12)</f>
        <v/>
      </c>
      <c r="BG12" s="509"/>
      <c r="BH12" s="509"/>
      <c r="BI12" s="1164">
        <v>0</v>
      </c>
    </row>
    <row customHeight="1" ht="11.25" hidden="1">
      <c r="A13" s="1372"/>
      <c r="B13" s="1372"/>
      <c r="C13" s="1372"/>
      <c r="D13" s="1372"/>
      <c r="E13" s="2287"/>
      <c r="F13" s="2287"/>
      <c r="G13" s="2287"/>
      <c r="H13" s="2287"/>
      <c r="I13" s="2314"/>
      <c r="J13" s="2284"/>
      <c r="K13" s="1372"/>
      <c r="L13" s="1373"/>
      <c r="P13" s="2285"/>
      <c r="Q13" s="2285"/>
      <c r="R13" s="365"/>
      <c r="S13" s="1287"/>
      <c r="T13" s="296" t="s">
        <v>479</v>
      </c>
      <c r="U13" s="376"/>
      <c r="V13" s="376"/>
      <c r="W13" s="376"/>
      <c r="X13" s="376"/>
      <c r="Y13" s="376"/>
      <c r="Z13" s="376"/>
      <c r="AA13" s="376"/>
      <c r="AB13" s="376"/>
      <c r="AC13" s="376"/>
      <c r="AD13" s="1514"/>
      <c r="AE13" s="376"/>
      <c r="AF13" s="376"/>
      <c r="AG13" s="376"/>
      <c r="AH13" s="376"/>
      <c r="AI13" s="376"/>
      <c r="AJ13" s="376"/>
      <c r="AK13" s="376"/>
      <c r="AL13" s="376"/>
      <c r="AM13" s="376"/>
      <c r="AN13" s="376"/>
      <c r="AO13" s="376"/>
      <c r="AP13" s="376"/>
      <c r="AQ13" s="376"/>
      <c r="AR13" s="376"/>
      <c r="AS13" s="376"/>
      <c r="AT13" s="376"/>
      <c r="AU13" s="376"/>
      <c r="AV13" s="376"/>
      <c r="AW13" s="376"/>
      <c r="AX13" s="376"/>
      <c r="AY13" s="376"/>
      <c r="AZ13" s="376"/>
      <c r="BA13" s="376"/>
      <c r="BB13" s="333"/>
      <c r="BC13" s="2283"/>
      <c r="BE13" s="509"/>
      <c r="BF13" s="509" t="str">
        <f>IF(T13="","",T13)</f>
        <v>Добавить строку</v>
      </c>
      <c r="BG13" s="509"/>
      <c r="BH13" s="509"/>
      <c r="BI13" s="1164">
        <v>0</v>
      </c>
    </row>
    <row s="1651" customFormat="1" customHeight="1" ht="14.25" hidden="1">
      <c r="A14" s="1352"/>
      <c r="B14" s="1352"/>
      <c r="C14" s="1352"/>
      <c r="D14" s="1352"/>
      <c r="E14" s="2287"/>
      <c r="F14" s="2287"/>
      <c r="G14" s="2287"/>
      <c r="H14" s="2287"/>
      <c r="I14" s="2284"/>
      <c r="J14" s="1352"/>
      <c r="K14" s="1352"/>
      <c r="L14" s="1355"/>
      <c r="M14" s="519"/>
      <c r="N14" s="519"/>
      <c r="O14" s="519"/>
      <c r="P14" s="2285"/>
      <c r="Q14" s="1490"/>
      <c r="R14" s="365"/>
      <c r="S14" s="1395"/>
      <c r="T14" s="1396"/>
      <c r="U14" s="1397"/>
      <c r="V14" s="1397"/>
      <c r="W14" s="1397"/>
      <c r="X14" s="1397"/>
      <c r="Y14" s="1397"/>
      <c r="Z14" s="1397"/>
      <c r="AA14" s="1397"/>
      <c r="AB14" s="1397"/>
      <c r="AC14" s="1397"/>
      <c r="AD14" s="1397"/>
      <c r="AE14" s="1397"/>
      <c r="AF14" s="1397"/>
      <c r="AG14" s="1397"/>
      <c r="AH14" s="1397"/>
      <c r="AI14" s="1397"/>
      <c r="AJ14" s="1397"/>
      <c r="AK14" s="1397"/>
      <c r="AL14" s="1397"/>
      <c r="AM14" s="1397"/>
      <c r="AN14" s="1397"/>
      <c r="AO14" s="1397"/>
      <c r="AP14" s="1397"/>
      <c r="AQ14" s="1397"/>
      <c r="AR14" s="1397"/>
      <c r="AS14" s="1397"/>
      <c r="AT14" s="1397"/>
      <c r="AU14" s="1397"/>
      <c r="AV14" s="1397"/>
      <c r="AW14" s="1397"/>
      <c r="AX14" s="1397"/>
      <c r="AY14" s="1397"/>
      <c r="AZ14" s="1397"/>
      <c r="BA14" s="1397"/>
      <c r="BB14" s="1397"/>
      <c r="BC14" s="1398"/>
      <c r="BE14" s="509"/>
      <c r="BF14" s="509" t="str">
        <f>IF(T14="","",T14)</f>
        <v/>
      </c>
      <c r="BG14" s="509"/>
      <c r="BH14" s="509"/>
      <c r="BI14" s="520">
        <v>0</v>
      </c>
    </row>
    <row s="1651" customFormat="1" customHeight="1" ht="14.25" hidden="1">
      <c r="A15" s="1352"/>
      <c r="B15" s="1352"/>
      <c r="C15" s="1352"/>
      <c r="D15" s="1352"/>
      <c r="E15" s="2287"/>
      <c r="F15" s="2287"/>
      <c r="G15" s="2287"/>
      <c r="H15" s="2286"/>
      <c r="I15" s="1352"/>
      <c r="J15" s="1352"/>
      <c r="K15" s="1352"/>
      <c r="L15" s="1355"/>
      <c r="M15" s="1324"/>
      <c r="N15" s="1324"/>
      <c r="O15" s="527"/>
      <c r="P15" s="389"/>
      <c r="Q15" s="1353"/>
      <c r="R15" s="1410"/>
      <c r="S15" s="1395"/>
      <c r="T15" s="1396"/>
      <c r="U15" s="1397"/>
      <c r="V15" s="1397"/>
      <c r="W15" s="1397"/>
      <c r="X15" s="1397"/>
      <c r="Y15" s="1397"/>
      <c r="Z15" s="1397"/>
      <c r="AA15" s="1397"/>
      <c r="AB15" s="1397"/>
      <c r="AC15" s="1397"/>
      <c r="AD15" s="1397"/>
      <c r="AE15" s="1397"/>
      <c r="AF15" s="1397"/>
      <c r="AG15" s="1397"/>
      <c r="AH15" s="1397"/>
      <c r="AI15" s="1397"/>
      <c r="AJ15" s="1397"/>
      <c r="AK15" s="1397"/>
      <c r="AL15" s="1397"/>
      <c r="AM15" s="1397"/>
      <c r="AN15" s="1397"/>
      <c r="AO15" s="1397"/>
      <c r="AP15" s="1397"/>
      <c r="AQ15" s="1397"/>
      <c r="AR15" s="1397"/>
      <c r="AS15" s="1397"/>
      <c r="AT15" s="1397"/>
      <c r="AU15" s="1397"/>
      <c r="AV15" s="1397"/>
      <c r="AW15" s="1397"/>
      <c r="AX15" s="1397"/>
      <c r="AY15" s="1397"/>
      <c r="AZ15" s="1397"/>
      <c r="BA15" s="1397"/>
      <c r="BB15" s="1397"/>
      <c r="BC15" s="1398"/>
      <c r="BE15" s="509"/>
      <c r="BF15" s="509" t="str">
        <f>IF(T15="","",T15)</f>
        <v/>
      </c>
      <c r="BG15" s="509"/>
      <c r="BH15" s="509"/>
      <c r="BI15" s="520">
        <v>0</v>
      </c>
    </row>
    <row s="1651" customFormat="1" customHeight="1" ht="14.25" hidden="1">
      <c r="A16" s="1352"/>
      <c r="B16" s="1352"/>
      <c r="C16" s="1352"/>
      <c r="D16" s="1323"/>
      <c r="E16" s="2287"/>
      <c r="F16" s="2287"/>
      <c r="G16" s="2286"/>
      <c r="H16" s="1323"/>
      <c r="I16" s="1323"/>
      <c r="J16" s="1323"/>
      <c r="K16" s="1323"/>
      <c r="L16" s="1503"/>
      <c r="M16" s="1324"/>
      <c r="N16" s="1324"/>
      <c r="P16" s="1325"/>
      <c r="Q16" s="1326"/>
      <c r="R16" s="1325"/>
      <c r="S16" s="1331"/>
      <c r="T16" s="1334"/>
      <c r="U16" s="1333"/>
      <c r="V16" s="1333"/>
      <c r="W16" s="1333"/>
      <c r="X16" s="1333"/>
      <c r="Y16" s="1333"/>
      <c r="Z16" s="1333"/>
      <c r="AA16" s="1333"/>
      <c r="AB16" s="1333"/>
      <c r="AC16" s="1333"/>
      <c r="AD16" s="1333"/>
      <c r="AE16" s="1333"/>
      <c r="AF16" s="1333"/>
      <c r="AG16" s="1333"/>
      <c r="AH16" s="1333"/>
      <c r="AI16" s="1333"/>
      <c r="AJ16" s="1333"/>
      <c r="AK16" s="1333"/>
      <c r="AL16" s="1333"/>
      <c r="AM16" s="1333"/>
      <c r="AN16" s="1333"/>
      <c r="AO16" s="1333"/>
      <c r="AP16" s="1333"/>
      <c r="AQ16" s="1333"/>
      <c r="AR16" s="1333"/>
      <c r="AS16" s="1333"/>
      <c r="AT16" s="1333"/>
      <c r="AU16" s="1333"/>
      <c r="AV16" s="1333"/>
      <c r="AW16" s="1333"/>
      <c r="AX16" s="1333"/>
      <c r="AY16" s="1333"/>
      <c r="AZ16" s="1333"/>
      <c r="BA16" s="1333"/>
      <c r="BB16" s="1333"/>
      <c r="BC16" s="1333"/>
      <c r="BE16" s="798"/>
      <c r="BF16" s="798" t="str">
        <f>IF(T16="","",T16)</f>
        <v/>
      </c>
      <c r="BG16" s="798"/>
      <c r="BH16" s="798"/>
      <c r="BI16" s="527">
        <v>0</v>
      </c>
    </row>
    <row s="1651" customFormat="1" customHeight="1" ht="14.25" hidden="1">
      <c r="A17" s="1352"/>
      <c r="B17" s="1352"/>
      <c r="C17" s="1323"/>
      <c r="D17" s="1323"/>
      <c r="E17" s="2287"/>
      <c r="F17" s="2286"/>
      <c r="G17" s="1323"/>
      <c r="H17" s="1323"/>
      <c r="I17" s="1323"/>
      <c r="J17" s="1323"/>
      <c r="K17" s="1323"/>
      <c r="L17" s="1503"/>
      <c r="M17" s="1330"/>
      <c r="N17" s="1330"/>
      <c r="P17" s="1325"/>
      <c r="Q17" s="1326"/>
      <c r="R17" s="1325"/>
      <c r="S17" s="1331"/>
      <c r="T17" s="1334" t="s">
        <v>430</v>
      </c>
      <c r="U17" s="1333"/>
      <c r="V17" s="1333"/>
      <c r="W17" s="1333"/>
      <c r="X17" s="1333"/>
      <c r="Y17" s="1333"/>
      <c r="Z17" s="1333"/>
      <c r="AA17" s="1333"/>
      <c r="AB17" s="1333"/>
      <c r="AC17" s="1333"/>
      <c r="AD17" s="1333"/>
      <c r="AE17" s="1333"/>
      <c r="AF17" s="1333"/>
      <c r="AG17" s="1333"/>
      <c r="AH17" s="1333"/>
      <c r="AI17" s="1333"/>
      <c r="AJ17" s="1333"/>
      <c r="AK17" s="1333"/>
      <c r="AL17" s="1333"/>
      <c r="AM17" s="1333"/>
      <c r="AN17" s="1333"/>
      <c r="AO17" s="1333"/>
      <c r="AP17" s="1333"/>
      <c r="AQ17" s="1333"/>
      <c r="AR17" s="1333"/>
      <c r="AS17" s="1333"/>
      <c r="AT17" s="1333"/>
      <c r="AU17" s="1333"/>
      <c r="AV17" s="1333"/>
      <c r="AW17" s="1333"/>
      <c r="AX17" s="1333"/>
      <c r="AY17" s="1333"/>
      <c r="AZ17" s="1333"/>
      <c r="BA17" s="1333"/>
      <c r="BB17" s="1333"/>
      <c r="BC17" s="1333"/>
      <c r="BE17" s="798"/>
      <c r="BF17" s="798" t="str">
        <f>IF(T17="","",T17)</f>
        <v>Добавить централизованную систему для дифференциации</v>
      </c>
      <c r="BG17" s="798"/>
      <c r="BH17" s="798"/>
      <c r="BI17" s="527">
        <v>0</v>
      </c>
    </row>
    <row s="1651" customFormat="1" customHeight="1" ht="14.25" hidden="1">
      <c r="A18" s="1352"/>
      <c r="B18" s="1352"/>
      <c r="C18" s="1352"/>
      <c r="D18" s="1352"/>
      <c r="E18" s="2286"/>
      <c r="F18" s="1352"/>
      <c r="G18" s="1352"/>
      <c r="H18" s="1352"/>
      <c r="I18" s="1352"/>
      <c r="J18" s="1352"/>
      <c r="K18" s="1352"/>
      <c r="L18" s="1355"/>
      <c r="M18" s="1330"/>
      <c r="N18" s="1330"/>
      <c r="O18" s="527"/>
      <c r="P18" s="389"/>
      <c r="Q18" s="1353"/>
      <c r="R18" s="389"/>
      <c r="S18" s="1331"/>
      <c r="T18" s="1334" t="s">
        <v>431</v>
      </c>
      <c r="U18" s="1333"/>
      <c r="V18" s="1333"/>
      <c r="W18" s="1333"/>
      <c r="X18" s="1333"/>
      <c r="Y18" s="1333"/>
      <c r="Z18" s="1333"/>
      <c r="AA18" s="1333"/>
      <c r="AB18" s="1333"/>
      <c r="AC18" s="1333"/>
      <c r="AD18" s="1333"/>
      <c r="AE18" s="1333"/>
      <c r="AF18" s="1333"/>
      <c r="AG18" s="1333"/>
      <c r="AH18" s="1333"/>
      <c r="AI18" s="1333"/>
      <c r="AJ18" s="1333"/>
      <c r="AK18" s="1333"/>
      <c r="AL18" s="1333"/>
      <c r="AM18" s="1333"/>
      <c r="AN18" s="1333"/>
      <c r="AO18" s="1333"/>
      <c r="AP18" s="1333"/>
      <c r="AQ18" s="1333"/>
      <c r="AR18" s="1333"/>
      <c r="AS18" s="1333"/>
      <c r="AT18" s="1333"/>
      <c r="AU18" s="1333"/>
      <c r="AV18" s="1333"/>
      <c r="AW18" s="1333"/>
      <c r="AX18" s="1333"/>
      <c r="AY18" s="1333"/>
      <c r="AZ18" s="1333"/>
      <c r="BA18" s="1333"/>
      <c r="BB18" s="1333"/>
      <c r="BC18" s="1333"/>
      <c r="BE18" s="509"/>
      <c r="BF18" s="509" t="str">
        <f>IF(T18="","",T18)</f>
        <v>Добавить территорию для дифференциации</v>
      </c>
      <c r="BG18" s="509"/>
      <c r="BH18" s="509"/>
      <c r="BI18" s="520">
        <v>0</v>
      </c>
    </row>
    <row customHeight="1" ht="14.25" hidden="1">
      <c r="AC19" s="336"/>
      <c r="BA19" s="336"/>
      <c r="BI19" s="1164">
        <v>0</v>
      </c>
    </row>
    <row customHeight="1" ht="14.25" hidden="1">
      <c r="AD20" s="1333" t="s">
        <v>19</v>
      </c>
      <c r="AE20" s="1510"/>
      <c r="AF20" s="557">
        <v>1</v>
      </c>
      <c r="AG20" s="1511"/>
      <c r="AH20" s="1333" t="s">
        <v>19</v>
      </c>
      <c r="AI20" s="1510"/>
      <c r="AJ20" s="557">
        <v>1</v>
      </c>
      <c r="AK20" s="1511"/>
      <c r="AL20" s="1333" t="s">
        <v>19</v>
      </c>
      <c r="AM20" s="1512"/>
      <c r="AN20" s="557">
        <v>1</v>
      </c>
      <c r="AO20" s="1513"/>
      <c r="AP20" s="1333" t="s">
        <v>19</v>
      </c>
      <c r="AQ20" s="1512"/>
      <c r="AR20" s="557">
        <v>1</v>
      </c>
      <c r="AS20" s="1513"/>
      <c r="AT20" s="334"/>
      <c r="AU20" s="393"/>
      <c r="AV20" s="334"/>
      <c r="AW20" s="393"/>
      <c r="AX20" s="1744"/>
      <c r="AY20" s="1494" t="s">
        <v>63</v>
      </c>
      <c r="AZ20" s="1744"/>
      <c r="BA20" s="1494" t="s">
        <v>63</v>
      </c>
      <c r="BI20" s="1164">
        <v>0</v>
      </c>
    </row>
    <row customHeight="1" ht="14.25" hidden="1">
      <c r="BD21" s="505"/>
      <c r="BE21" s="505"/>
      <c r="BF21" s="505"/>
      <c r="BG21" s="505"/>
      <c r="BH21" s="505"/>
      <c r="BI21" s="1164">
        <v>0</v>
      </c>
    </row>
    <row customHeight="1" ht="14.25" hidden="1">
      <c r="O22" s="1376" t="s">
        <v>432</v>
      </c>
      <c r="Z22" s="1354"/>
      <c r="AB22" s="1354"/>
      <c r="AC22" s="336"/>
      <c r="AX22" s="1354"/>
      <c r="AZ22" s="1354"/>
      <c r="BA22" s="336"/>
      <c r="BD22" s="505"/>
      <c r="BE22" s="505"/>
      <c r="BF22" s="505"/>
      <c r="BG22" s="505"/>
      <c r="BH22" s="505"/>
      <c r="BI22" s="1164">
        <v>0</v>
      </c>
    </row>
    <row customHeight="1" ht="14.25" hidden="1">
      <c r="AC23" s="336"/>
      <c r="BA23" s="336"/>
      <c r="BD23" s="505"/>
      <c r="BE23" s="505"/>
      <c r="BF23" s="505"/>
      <c r="BG23" s="505"/>
      <c r="BH23" s="505"/>
      <c r="BI23" s="1164">
        <v>0</v>
      </c>
    </row>
    <row s="1518" customFormat="1" customHeight="1" ht="14.25" hidden="1">
      <c r="M24" s="1517"/>
      <c r="N24" s="1517"/>
      <c r="O24" s="1518" t="s">
        <v>433</v>
      </c>
      <c r="P24" s="1517"/>
      <c r="Q24" s="1519"/>
      <c r="R24" s="1519"/>
      <c r="AA24" s="1516" t="s">
        <v>435</v>
      </c>
      <c r="AC24" s="1516" t="s">
        <v>436</v>
      </c>
      <c r="AD24" s="1516" t="s">
        <v>480</v>
      </c>
      <c r="AH24" s="1516" t="s">
        <v>480</v>
      </c>
      <c r="AK24" s="1516" t="s">
        <v>517</v>
      </c>
      <c r="AL24" s="1516" t="s">
        <v>480</v>
      </c>
      <c r="AP24" s="1516" t="s">
        <v>480</v>
      </c>
      <c r="AY24" s="1516" t="s">
        <v>435</v>
      </c>
      <c r="BA24" s="1516" t="s">
        <v>436</v>
      </c>
      <c r="BD24" s="1520"/>
      <c r="BE24" s="1520"/>
      <c r="BF24" s="1520"/>
      <c r="BG24" s="1520"/>
      <c r="BH24" s="1520"/>
      <c r="BI24" s="1516">
        <v>0</v>
      </c>
    </row>
    <row customHeight="1" ht="14.25" hidden="1">
      <c r="O25" s="1373"/>
      <c r="BD25" s="505"/>
      <c r="BE25" s="505"/>
      <c r="BF25" s="505"/>
      <c r="BG25" s="505"/>
      <c r="BH25" s="505"/>
      <c r="BI25" s="1164">
        <v>0</v>
      </c>
    </row>
    <row customHeight="1" ht="14.25" hidden="1">
      <c r="O26" s="1373"/>
      <c r="BD26" s="505"/>
      <c r="BE26" s="505"/>
      <c r="BF26" s="505"/>
      <c r="BG26" s="505"/>
      <c r="BH26" s="505"/>
      <c r="BI26" s="1164">
        <v>0</v>
      </c>
    </row>
    <row customHeight="1" ht="14.699999999999998">
      <c r="Q27" s="300"/>
      <c r="R27" s="385"/>
      <c r="S27" s="1284"/>
      <c r="T27" s="372"/>
      <c r="U27" s="372"/>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8"/>
      <c r="BA27" s="518"/>
      <c r="BI27" s="1164">
        <v>14</v>
      </c>
    </row>
    <row customHeight="1" ht="14.699999999999998">
      <c r="Q28" s="300"/>
      <c r="R28" s="385"/>
      <c r="S28" s="227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76"/>
      <c r="AT28" s="2276"/>
      <c r="AU28" s="2276"/>
      <c r="AV28" s="2276"/>
      <c r="AW28" s="2276"/>
      <c r="AX28" s="2276"/>
      <c r="AY28" s="2276"/>
      <c r="AZ28" s="2276"/>
      <c r="BA28" s="1252"/>
      <c r="BI28" s="1164">
        <v>14</v>
      </c>
    </row>
    <row customHeight="1" ht="14.699999999999998">
      <c r="Q29" s="300"/>
      <c r="R29" s="385"/>
      <c r="S29" s="2277" t="str">
        <f>IF(org=0,"Не определено",org)</f>
        <v>АО "ДГК"</v>
      </c>
      <c r="T29" s="2277"/>
      <c r="U29" s="2277"/>
      <c r="V29" s="2277"/>
      <c r="W29" s="2277"/>
      <c r="X29" s="2277"/>
      <c r="Y29" s="2277"/>
      <c r="Z29" s="2277"/>
      <c r="AA29" s="2277"/>
      <c r="AB29" s="2277"/>
      <c r="AC29" s="2277"/>
      <c r="AD29" s="2277"/>
      <c r="AE29" s="2277"/>
      <c r="AF29" s="2277"/>
      <c r="AG29" s="2277"/>
      <c r="AH29" s="2277"/>
      <c r="AI29" s="2277"/>
      <c r="AJ29" s="2277"/>
      <c r="AK29" s="2277"/>
      <c r="AL29" s="2277"/>
      <c r="AM29" s="2277"/>
      <c r="AN29" s="2277"/>
      <c r="AO29" s="2277"/>
      <c r="AP29" s="2277"/>
      <c r="AQ29" s="2277"/>
      <c r="AR29" s="2277"/>
      <c r="AS29" s="2277"/>
      <c r="AT29" s="2277"/>
      <c r="AU29" s="2277"/>
      <c r="AV29" s="2277"/>
      <c r="AW29" s="2277"/>
      <c r="AX29" s="2277"/>
      <c r="AY29" s="2277"/>
      <c r="AZ29" s="2277"/>
      <c r="BA29" s="1252"/>
      <c r="BI29" s="1164">
        <v>14</v>
      </c>
    </row>
    <row customHeight="1" ht="14.25" hidden="1">
      <c r="Q30" s="300"/>
      <c r="R30" s="385"/>
      <c r="S30" s="1284"/>
      <c r="T30" s="372"/>
      <c r="U30" s="372"/>
      <c r="V30" s="331"/>
      <c r="W30" s="331"/>
      <c r="X30" s="331"/>
      <c r="Y30" s="331"/>
      <c r="Z30" s="331"/>
      <c r="AA30" s="331"/>
      <c r="AB30" s="331"/>
      <c r="AC30" s="331"/>
      <c r="AD30" s="331"/>
      <c r="AE30" s="331"/>
      <c r="AF30" s="331"/>
      <c r="AG30" s="331"/>
      <c r="AH30" s="331"/>
      <c r="AI30" s="331"/>
      <c r="AJ30" s="331"/>
      <c r="AK30" s="331"/>
      <c r="AL30" s="331"/>
      <c r="AM30" s="331"/>
      <c r="AN30" s="331"/>
      <c r="AO30" s="331"/>
      <c r="AP30" s="331"/>
      <c r="AQ30" s="331"/>
      <c r="AR30" s="331"/>
      <c r="AS30" s="331"/>
      <c r="AT30" s="331"/>
      <c r="AU30" s="331"/>
      <c r="AV30" s="331"/>
      <c r="AW30" s="331"/>
      <c r="AX30" s="331"/>
      <c r="AY30" s="331"/>
      <c r="AZ30" s="331"/>
      <c r="BA30" s="331"/>
      <c r="BB30" s="518"/>
      <c r="BI30" s="1164">
        <v>0</v>
      </c>
    </row>
    <row s="1859" customFormat="1" customHeight="1" ht="25.5" hidden="1">
      <c r="A31" s="1377"/>
      <c r="B31" s="1377"/>
      <c r="C31" s="1377"/>
      <c r="D31" s="1377"/>
      <c r="E31" s="1377"/>
      <c r="F31" s="1377"/>
      <c r="G31" s="1377"/>
      <c r="H31" s="1377"/>
      <c r="I31" s="1377"/>
      <c r="J31" s="1377"/>
      <c r="K31" s="1377"/>
      <c r="L31" s="1378"/>
      <c r="M31" s="1377"/>
      <c r="N31" s="1377"/>
      <c r="O31" s="1377"/>
      <c r="P31" s="1377"/>
      <c r="Q31" s="1377"/>
      <c r="S31" s="2278" t="str">
        <f>"Наименование органа регулирования, принявшего решение об "&amp;IF(TITLE_DATE_PR_CHANGE="","утверждении","изменении")&amp;" тарифов"</f>
        <v>Наименование органа регулирования, принявшего решение об утверждении тарифов</v>
      </c>
      <c r="T31" s="2278"/>
      <c r="U31" s="1381"/>
      <c r="V31" s="2279" t="str">
        <f>IF(TITLE_NAME_OR_PR_CHANGE="",IF(TITLE_NAME_OR_PR="","",TITLE_NAME_OR_PR),TITLE_NAME_OR_PR_CHANGE)</f>
        <v/>
      </c>
      <c r="W31" s="2279"/>
      <c r="X31" s="2279"/>
      <c r="Y31" s="2279"/>
      <c r="Z31" s="2279"/>
      <c r="AA31" s="2279"/>
      <c r="AB31" s="2279"/>
      <c r="AC31" s="335"/>
      <c r="AD31" s="2279" t="str">
        <f>IF(TITLE_NAME_OR_PR_CHANGE="",IF(TITLE_NAME_OR_PR="","",TITLE_NAME_OR_PR),TITLE_NAME_OR_PR_CHANGE)</f>
        <v/>
      </c>
      <c r="AE31" s="2279"/>
      <c r="AF31" s="2279"/>
      <c r="AG31" s="2279"/>
      <c r="AH31" s="2279"/>
      <c r="AI31" s="2279"/>
      <c r="AJ31" s="2279"/>
      <c r="AK31" s="2279"/>
      <c r="AL31" s="2279"/>
      <c r="AM31" s="2279"/>
      <c r="AN31" s="2279"/>
      <c r="AO31" s="2279"/>
      <c r="AP31" s="2279"/>
      <c r="AQ31" s="2279"/>
      <c r="AR31" s="2279"/>
      <c r="AS31" s="2279"/>
      <c r="AT31" s="2279"/>
      <c r="AU31" s="2279"/>
      <c r="AV31" s="2279"/>
      <c r="AW31" s="2279"/>
      <c r="AX31" s="2279"/>
      <c r="AY31" s="2279"/>
      <c r="AZ31" s="2279"/>
      <c r="BA31" s="335"/>
      <c r="BB31" s="335"/>
      <c r="BC31" s="289"/>
      <c r="BD31" s="377"/>
      <c r="BE31" s="377"/>
      <c r="BF31" s="377"/>
      <c r="BG31" s="377"/>
      <c r="BH31" s="377"/>
      <c r="BI31" s="427">
        <v>0</v>
      </c>
    </row>
    <row s="1859" customFormat="1" customHeight="1" ht="18.75" hidden="1">
      <c r="A32" s="1377"/>
      <c r="B32" s="1377"/>
      <c r="C32" s="1377"/>
      <c r="D32" s="1377"/>
      <c r="E32" s="1377"/>
      <c r="F32" s="1377"/>
      <c r="G32" s="1377"/>
      <c r="H32" s="1377"/>
      <c r="I32" s="1377"/>
      <c r="J32" s="1377"/>
      <c r="K32" s="1377"/>
      <c r="L32" s="1378"/>
      <c r="M32" s="1377"/>
      <c r="N32" s="1377"/>
      <c r="O32" s="1377"/>
      <c r="P32" s="1377"/>
      <c r="Q32" s="1377"/>
      <c r="S32" s="2278" t="str">
        <f>"Дата документа об "&amp;IF(TITLE_DATE_PR_CHANGE="","утверждении","изменении")&amp;" тарифов"</f>
        <v>Дата документа об утверждении тарифов</v>
      </c>
      <c r="T32" s="2278"/>
      <c r="U32" s="1381"/>
      <c r="V32" s="2292" t="str">
        <f>IF(TITLE_DATE_PR_CHANGE="",IF(TITLE_DATE_PR="","",TITLE_DATE_PR),TITLE_DATE_PR_CHANGE)</f>
        <v/>
      </c>
      <c r="W32" s="2292"/>
      <c r="X32" s="2292"/>
      <c r="Y32" s="2292"/>
      <c r="Z32" s="2292"/>
      <c r="AA32" s="2292"/>
      <c r="AB32" s="2292"/>
      <c r="AC32" s="335"/>
      <c r="AD32" s="2292" t="str">
        <f>IF(TITLE_DATE_PR_CHANGE="",IF(TITLE_DATE_PR="","",TITLE_DATE_PR),TITLE_DATE_PR_CHANGE)</f>
        <v/>
      </c>
      <c r="AE32" s="2292"/>
      <c r="AF32" s="2292"/>
      <c r="AG32" s="2292"/>
      <c r="AH32" s="2292"/>
      <c r="AI32" s="2292"/>
      <c r="AJ32" s="2292"/>
      <c r="AK32" s="2292"/>
      <c r="AL32" s="2292"/>
      <c r="AM32" s="2292"/>
      <c r="AN32" s="2292"/>
      <c r="AO32" s="2292"/>
      <c r="AP32" s="2292"/>
      <c r="AQ32" s="2292"/>
      <c r="AR32" s="2292"/>
      <c r="AS32" s="2292"/>
      <c r="AT32" s="2292"/>
      <c r="AU32" s="2292"/>
      <c r="AV32" s="2292"/>
      <c r="AW32" s="2292"/>
      <c r="AX32" s="2292"/>
      <c r="AY32" s="2292"/>
      <c r="AZ32" s="2292"/>
      <c r="BA32" s="335"/>
      <c r="BB32" s="335"/>
      <c r="BC32" s="289"/>
      <c r="BD32" s="377"/>
      <c r="BE32" s="377"/>
      <c r="BF32" s="377"/>
      <c r="BG32" s="377"/>
      <c r="BH32" s="377"/>
      <c r="BI32" s="427">
        <v>0</v>
      </c>
    </row>
    <row s="1859" customFormat="1" customHeight="1" ht="18.75" hidden="1">
      <c r="A33" s="1377"/>
      <c r="B33" s="1377"/>
      <c r="C33" s="1377"/>
      <c r="D33" s="1377"/>
      <c r="E33" s="1377"/>
      <c r="F33" s="1377"/>
      <c r="G33" s="1377"/>
      <c r="H33" s="1377"/>
      <c r="I33" s="1377"/>
      <c r="J33" s="1377"/>
      <c r="K33" s="1377"/>
      <c r="L33" s="1378"/>
      <c r="M33" s="1377"/>
      <c r="N33" s="1377"/>
      <c r="O33" s="1377"/>
      <c r="P33" s="1377"/>
      <c r="Q33" s="1377"/>
      <c r="S33" s="2278" t="str">
        <f>"Номер документа об "&amp;IF(TITLE_DATE_PR_CHANGE="","утверждении","изменении")&amp;" тарифов"</f>
        <v>Номер документа об утверждении тарифов</v>
      </c>
      <c r="T33" s="2278"/>
      <c r="U33" s="1381"/>
      <c r="V33" s="2279" t="str">
        <f>IF(TITLE_NUMBER_PR_CHANGE="",IF(TITLE_NUMBER_PR="","",TITLE_NUMBER_PR),TITLE_NUMBER_PR_CHANGE)</f>
        <v/>
      </c>
      <c r="W33" s="2279"/>
      <c r="X33" s="2279"/>
      <c r="Y33" s="2279"/>
      <c r="Z33" s="2279"/>
      <c r="AA33" s="2279"/>
      <c r="AB33" s="2279"/>
      <c r="AC33" s="335"/>
      <c r="AD33" s="2279" t="str">
        <f>IF(TITLE_NUMBER_PR_CHANGE="",IF(TITLE_NUMBER_PR="","",TITLE_NUMBER_PR),TITLE_NUMBER_PR_CHANGE)</f>
        <v/>
      </c>
      <c r="AE33" s="2279"/>
      <c r="AF33" s="2279"/>
      <c r="AG33" s="2279"/>
      <c r="AH33" s="2279"/>
      <c r="AI33" s="2279"/>
      <c r="AJ33" s="2279"/>
      <c r="AK33" s="2279"/>
      <c r="AL33" s="2279"/>
      <c r="AM33" s="2279"/>
      <c r="AN33" s="2279"/>
      <c r="AO33" s="2279"/>
      <c r="AP33" s="2279"/>
      <c r="AQ33" s="2279"/>
      <c r="AR33" s="2279"/>
      <c r="AS33" s="2279"/>
      <c r="AT33" s="2279"/>
      <c r="AU33" s="2279"/>
      <c r="AV33" s="2279"/>
      <c r="AW33" s="2279"/>
      <c r="AX33" s="2279"/>
      <c r="AY33" s="2279"/>
      <c r="AZ33" s="2279"/>
      <c r="BA33" s="335"/>
      <c r="BB33" s="335"/>
      <c r="BC33" s="289"/>
      <c r="BD33" s="377"/>
      <c r="BE33" s="377"/>
      <c r="BF33" s="377"/>
      <c r="BG33" s="377"/>
      <c r="BH33" s="377"/>
      <c r="BI33" s="427">
        <v>0</v>
      </c>
    </row>
    <row s="1859" customFormat="1" customHeight="1" ht="18.75" hidden="1">
      <c r="A34" s="1377"/>
      <c r="B34" s="1377"/>
      <c r="C34" s="1377"/>
      <c r="D34" s="1377"/>
      <c r="E34" s="1377"/>
      <c r="F34" s="1377"/>
      <c r="G34" s="1377"/>
      <c r="H34" s="1377"/>
      <c r="I34" s="1377"/>
      <c r="J34" s="1377"/>
      <c r="K34" s="1377"/>
      <c r="L34" s="1378"/>
      <c r="M34" s="1377"/>
      <c r="N34" s="1377"/>
      <c r="O34" s="1377"/>
      <c r="P34" s="1377"/>
      <c r="Q34" s="1377"/>
      <c r="S34" s="2278" t="s">
        <v>43</v>
      </c>
      <c r="T34" s="2278"/>
      <c r="U34" s="1381"/>
      <c r="V34" s="2279" t="str">
        <f>IF(TITLE_IST_PUB_CHANGE="",IF(TITLE_IST_PUB="","",TITLE_IST_PUB),TITLE_IST_PUB_CHANGE)</f>
        <v/>
      </c>
      <c r="W34" s="2279"/>
      <c r="X34" s="2279"/>
      <c r="Y34" s="2279"/>
      <c r="Z34" s="2279"/>
      <c r="AA34" s="2279"/>
      <c r="AB34" s="2279"/>
      <c r="AC34" s="335"/>
      <c r="AD34" s="2279" t="str">
        <f>IF(TITLE_IST_PUB_CHANGE="",IF(TITLE_IST_PUB="","",TITLE_IST_PUB),TITLE_IST_PUB_CHANGE)</f>
        <v/>
      </c>
      <c r="AE34" s="2279"/>
      <c r="AF34" s="2279"/>
      <c r="AG34" s="2279"/>
      <c r="AH34" s="2279"/>
      <c r="AI34" s="2279"/>
      <c r="AJ34" s="2279"/>
      <c r="AK34" s="2279"/>
      <c r="AL34" s="2279"/>
      <c r="AM34" s="2279"/>
      <c r="AN34" s="2279"/>
      <c r="AO34" s="2279"/>
      <c r="AP34" s="2279"/>
      <c r="AQ34" s="2279"/>
      <c r="AR34" s="2279"/>
      <c r="AS34" s="2279"/>
      <c r="AT34" s="2279"/>
      <c r="AU34" s="2279"/>
      <c r="AV34" s="2279"/>
      <c r="AW34" s="2279"/>
      <c r="AX34" s="2279"/>
      <c r="AY34" s="2279"/>
      <c r="AZ34" s="2279"/>
      <c r="BA34" s="335"/>
      <c r="BB34" s="335"/>
      <c r="BC34" s="289"/>
      <c r="BD34" s="377"/>
      <c r="BE34" s="377"/>
      <c r="BF34" s="377"/>
      <c r="BG34" s="377"/>
      <c r="BH34" s="377"/>
      <c r="BI34" s="427">
        <v>0</v>
      </c>
    </row>
    <row customHeight="1" ht="14.25" hidden="1">
      <c r="Q35" s="300"/>
      <c r="R35" s="385"/>
      <c r="S35" s="1284"/>
      <c r="T35" s="466"/>
      <c r="U35" s="372"/>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518"/>
      <c r="BI35" s="1164">
        <v>0</v>
      </c>
    </row>
    <row s="1859" customFormat="1" customHeight="1" ht="18.75" hidden="1">
      <c r="A36" s="1377"/>
      <c r="B36" s="1377"/>
      <c r="C36" s="1377"/>
      <c r="D36" s="1377"/>
      <c r="E36" s="1377"/>
      <c r="F36" s="1377"/>
      <c r="G36" s="1377"/>
      <c r="H36" s="1377"/>
      <c r="I36" s="1377"/>
      <c r="J36" s="1377"/>
      <c r="K36" s="1377"/>
      <c r="L36" s="1378"/>
      <c r="M36" s="1377"/>
      <c r="N36" s="1377"/>
      <c r="O36" s="1377"/>
      <c r="P36" s="1377"/>
      <c r="Q36" s="1377"/>
      <c r="S36" s="2278" t="str">
        <f>"Дата подачи заявления об "&amp;IF(TITLE_DATE_PR_CHANGE="","утверждении","изменении")&amp;" тарифов"</f>
        <v>Дата подачи заявления об утверждении тарифов</v>
      </c>
      <c r="T36" s="2278"/>
      <c r="U36" s="1381"/>
      <c r="V36" s="2292" t="str">
        <f>IF(TITLE_DATE_PR_CHANGE="",IF(TITLE_DATE_PR="","",TITLE_DATE_PR),TITLE_DATE_PR_CHANGE)</f>
        <v/>
      </c>
      <c r="W36" s="2292"/>
      <c r="X36" s="2292"/>
      <c r="Y36" s="2292"/>
      <c r="Z36" s="2292"/>
      <c r="AA36" s="2292"/>
      <c r="AB36" s="2292"/>
      <c r="AC36" s="335"/>
      <c r="AD36" s="2292" t="str">
        <f>IF(TITLE_DATE_PR_CHANGE="",IF(TITLE_DATE_PR="","",TITLE_DATE_PR),TITLE_DATE_PR_CHANGE)</f>
        <v/>
      </c>
      <c r="AE36" s="2292"/>
      <c r="AF36" s="2292"/>
      <c r="AG36" s="2292"/>
      <c r="AH36" s="2292"/>
      <c r="AI36" s="2292"/>
      <c r="AJ36" s="2292"/>
      <c r="AK36" s="2292"/>
      <c r="AL36" s="2292"/>
      <c r="AM36" s="2292"/>
      <c r="AN36" s="2292"/>
      <c r="AO36" s="2292"/>
      <c r="AP36" s="2292"/>
      <c r="AQ36" s="2292"/>
      <c r="AR36" s="2292"/>
      <c r="AS36" s="2292"/>
      <c r="AT36" s="2292"/>
      <c r="AU36" s="2292"/>
      <c r="AV36" s="2292"/>
      <c r="AW36" s="2292"/>
      <c r="AX36" s="2292"/>
      <c r="AY36" s="2292"/>
      <c r="AZ36" s="2292"/>
      <c r="BA36" s="335"/>
      <c r="BB36" s="335"/>
      <c r="BC36" s="289"/>
      <c r="BD36" s="377"/>
      <c r="BE36" s="377"/>
      <c r="BF36" s="377"/>
      <c r="BG36" s="377"/>
      <c r="BH36" s="377"/>
      <c r="BI36" s="427">
        <v>0</v>
      </c>
    </row>
    <row s="1859" customFormat="1" customHeight="1" ht="18.75" hidden="1">
      <c r="A37" s="1377"/>
      <c r="B37" s="1377"/>
      <c r="C37" s="1377"/>
      <c r="D37" s="1377"/>
      <c r="E37" s="1377"/>
      <c r="F37" s="1377"/>
      <c r="G37" s="1377"/>
      <c r="H37" s="1377"/>
      <c r="I37" s="1377"/>
      <c r="J37" s="1377"/>
      <c r="K37" s="1377"/>
      <c r="L37" s="1378"/>
      <c r="M37" s="1377"/>
      <c r="N37" s="1377"/>
      <c r="O37" s="1377"/>
      <c r="P37" s="1377"/>
      <c r="Q37" s="1377"/>
      <c r="S37" s="2278" t="str">
        <f>"Номер подачи заявления об "&amp;IF(TITLE_DATE_PR_CHANGE="","утверждении","изменении")&amp;" тарифов"</f>
        <v>Номер подачи заявления об утверждении тарифов</v>
      </c>
      <c r="T37" s="2278"/>
      <c r="U37" s="1381"/>
      <c r="V37" s="2279" t="str">
        <f>IF(TITLE_NUMBER_PR_CHANGE="",IF(TITLE_NUMBER_PR="","",TITLE_NUMBER_PR),TITLE_NUMBER_PR_CHANGE)</f>
        <v/>
      </c>
      <c r="W37" s="2279"/>
      <c r="X37" s="2279"/>
      <c r="Y37" s="2279"/>
      <c r="Z37" s="2279"/>
      <c r="AA37" s="2279"/>
      <c r="AB37" s="2279"/>
      <c r="AC37" s="335"/>
      <c r="AD37" s="2279" t="str">
        <f>IF(TITLE_NUMBER_PR_CHANGE="",IF(TITLE_NUMBER_PR="","",TITLE_NUMBER_PR),TITLE_NUMBER_PR_CHANGE)</f>
        <v/>
      </c>
      <c r="AE37" s="2279"/>
      <c r="AF37" s="2279"/>
      <c r="AG37" s="2279"/>
      <c r="AH37" s="2279"/>
      <c r="AI37" s="2279"/>
      <c r="AJ37" s="2279"/>
      <c r="AK37" s="2279"/>
      <c r="AL37" s="2279"/>
      <c r="AM37" s="2279"/>
      <c r="AN37" s="2279"/>
      <c r="AO37" s="2279"/>
      <c r="AP37" s="2279"/>
      <c r="AQ37" s="2279"/>
      <c r="AR37" s="2279"/>
      <c r="AS37" s="2279"/>
      <c r="AT37" s="2279"/>
      <c r="AU37" s="2279"/>
      <c r="AV37" s="2279"/>
      <c r="AW37" s="2279"/>
      <c r="AX37" s="2279"/>
      <c r="AY37" s="2279"/>
      <c r="AZ37" s="2279"/>
      <c r="BA37" s="335"/>
      <c r="BB37" s="335"/>
      <c r="BC37" s="289"/>
      <c r="BD37" s="377"/>
      <c r="BE37" s="377"/>
      <c r="BF37" s="377"/>
      <c r="BG37" s="377"/>
      <c r="BH37" s="377"/>
      <c r="BI37" s="427">
        <v>0</v>
      </c>
    </row>
    <row s="1859" customFormat="1" customHeight="1" ht="0">
      <c r="A38" s="1377"/>
      <c r="B38" s="1377"/>
      <c r="C38" s="1377"/>
      <c r="D38" s="1377"/>
      <c r="E38" s="1377"/>
      <c r="F38" s="1377"/>
      <c r="G38" s="1377"/>
      <c r="H38" s="1377"/>
      <c r="I38" s="1377"/>
      <c r="J38" s="1377"/>
      <c r="K38" s="1377"/>
      <c r="L38" s="1378"/>
      <c r="M38" s="1377"/>
      <c r="N38" s="1377"/>
      <c r="O38" s="1377"/>
      <c r="P38" s="1377"/>
      <c r="Q38" s="1377"/>
      <c r="S38" s="332"/>
      <c r="T38" s="332"/>
      <c r="U38" s="1497"/>
      <c r="V38" s="335"/>
      <c r="W38" s="335"/>
      <c r="X38" s="335"/>
      <c r="Y38" s="335"/>
      <c r="Z38" s="335"/>
      <c r="AA38" s="335"/>
      <c r="AB38" s="335"/>
      <c r="AC38" s="287" t="s">
        <v>438</v>
      </c>
      <c r="AD38" s="335"/>
      <c r="AE38" s="335"/>
      <c r="AF38" s="335"/>
      <c r="AG38" s="335"/>
      <c r="AH38" s="335"/>
      <c r="AI38" s="335"/>
      <c r="AJ38" s="335"/>
      <c r="AK38" s="335"/>
      <c r="AL38" s="335"/>
      <c r="AM38" s="335"/>
      <c r="AN38" s="335"/>
      <c r="AO38" s="335"/>
      <c r="AP38" s="335"/>
      <c r="AQ38" s="335"/>
      <c r="AR38" s="335"/>
      <c r="AS38" s="335"/>
      <c r="AT38" s="335"/>
      <c r="AU38" s="335"/>
      <c r="AV38" s="335"/>
      <c r="AW38" s="335"/>
      <c r="AX38" s="335"/>
      <c r="AY38" s="335"/>
      <c r="AZ38" s="335"/>
      <c r="BA38" s="287" t="s">
        <v>438</v>
      </c>
      <c r="BD38" s="377"/>
      <c r="BE38" s="377"/>
      <c r="BF38" s="377"/>
      <c r="BG38" s="377"/>
      <c r="BH38" s="377"/>
      <c r="BI38" s="427">
        <v>0</v>
      </c>
    </row>
    <row customHeight="1" ht="14.699999999999998">
      <c r="Q39" s="300"/>
      <c r="R39" s="385"/>
      <c r="S39" s="1284"/>
      <c r="T39" s="372"/>
      <c r="U39" s="1253"/>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c r="AS39" s="2280"/>
      <c r="AT39" s="2280"/>
      <c r="AU39" s="2280"/>
      <c r="AV39" s="2280"/>
      <c r="AW39" s="2280"/>
      <c r="AX39" s="2280"/>
      <c r="AY39" s="2280"/>
      <c r="AZ39" s="2280"/>
      <c r="BA39" s="2280"/>
      <c r="BI39" s="1164">
        <v>14</v>
      </c>
    </row>
    <row customHeight="1" ht="14.699999999999998">
      <c r="Q40" s="300"/>
      <c r="R40" s="385"/>
      <c r="S40" s="2155" t="s">
        <v>315</v>
      </c>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c r="AS40" s="2155"/>
      <c r="AT40" s="2155"/>
      <c r="AU40" s="2155"/>
      <c r="AV40" s="2155"/>
      <c r="AW40" s="2155"/>
      <c r="AX40" s="2155"/>
      <c r="AY40" s="2155"/>
      <c r="AZ40" s="2155"/>
      <c r="BA40" s="2155"/>
      <c r="BB40" s="2155"/>
      <c r="BC40" s="2155" t="s">
        <v>316</v>
      </c>
      <c r="BI40" s="1164">
        <v>14</v>
      </c>
    </row>
    <row customHeight="1" ht="14.699999999999998">
      <c r="Q41" s="300"/>
      <c r="R41" s="385"/>
      <c r="S41" s="2301" t="s">
        <v>89</v>
      </c>
      <c r="T41" s="2237" t="s">
        <v>520</v>
      </c>
      <c r="U41" s="310"/>
      <c r="V41" s="2302" t="s">
        <v>440</v>
      </c>
      <c r="W41" s="2303"/>
      <c r="X41" s="2303"/>
      <c r="Y41" s="2303"/>
      <c r="Z41" s="2303"/>
      <c r="AA41" s="2303"/>
      <c r="AB41" s="2304"/>
      <c r="AC41" s="2305" t="s">
        <v>441</v>
      </c>
      <c r="AD41" s="2356" t="s">
        <v>521</v>
      </c>
      <c r="AE41" s="2319"/>
      <c r="AF41" s="2319"/>
      <c r="AG41" s="2357"/>
      <c r="AH41" s="2356" t="s">
        <v>522</v>
      </c>
      <c r="AI41" s="2319"/>
      <c r="AJ41" s="2319"/>
      <c r="AK41" s="2357"/>
      <c r="AL41" s="2356" t="s">
        <v>523</v>
      </c>
      <c r="AM41" s="2319"/>
      <c r="AN41" s="2319"/>
      <c r="AO41" s="2357"/>
      <c r="AP41" s="2356" t="s">
        <v>524</v>
      </c>
      <c r="AQ41" s="2319"/>
      <c r="AR41" s="2319"/>
      <c r="AS41" s="2357"/>
      <c r="AT41" s="2302" t="s">
        <v>440</v>
      </c>
      <c r="AU41" s="2303"/>
      <c r="AV41" s="2303"/>
      <c r="AW41" s="2303"/>
      <c r="AX41" s="2303"/>
      <c r="AY41" s="2303"/>
      <c r="AZ41" s="2304"/>
      <c r="BA41" s="2305" t="s">
        <v>441</v>
      </c>
      <c r="BB41" s="2308" t="s">
        <v>443</v>
      </c>
      <c r="BC41" s="2155"/>
      <c r="BI41" s="1164">
        <v>14</v>
      </c>
    </row>
    <row customHeight="1" ht="35.699999999999996">
      <c r="Q42" s="300"/>
      <c r="R42" s="385"/>
      <c r="S42" s="2301"/>
      <c r="T42" s="2237"/>
      <c r="U42" s="1040"/>
      <c r="V42" s="2220" t="s">
        <v>525</v>
      </c>
      <c r="W42" s="2221"/>
      <c r="X42" s="2220" t="s">
        <v>526</v>
      </c>
      <c r="Y42" s="2221"/>
      <c r="Z42" s="2322" t="s">
        <v>527</v>
      </c>
      <c r="AA42" s="2341"/>
      <c r="AB42" s="2342"/>
      <c r="AC42" s="2306"/>
      <c r="AD42" s="2358"/>
      <c r="AE42" s="2359"/>
      <c r="AF42" s="2359"/>
      <c r="AG42" s="2360"/>
      <c r="AH42" s="2358"/>
      <c r="AI42" s="2359"/>
      <c r="AJ42" s="2359"/>
      <c r="AK42" s="2360"/>
      <c r="AL42" s="2358"/>
      <c r="AM42" s="2359"/>
      <c r="AN42" s="2359"/>
      <c r="AO42" s="2360"/>
      <c r="AP42" s="2358"/>
      <c r="AQ42" s="2359"/>
      <c r="AR42" s="2359"/>
      <c r="AS42" s="2360"/>
      <c r="AT42" s="2220" t="s">
        <v>525</v>
      </c>
      <c r="AU42" s="2221"/>
      <c r="AV42" s="2220" t="s">
        <v>526</v>
      </c>
      <c r="AW42" s="2221"/>
      <c r="AX42" s="2322" t="s">
        <v>527</v>
      </c>
      <c r="AY42" s="2341"/>
      <c r="AZ42" s="2342"/>
      <c r="BA42" s="2306"/>
      <c r="BB42" s="2309"/>
      <c r="BC42" s="2155"/>
      <c r="BI42" s="1164">
        <v>34</v>
      </c>
    </row>
    <row customHeight="1" ht="14.699999999999998">
      <c r="Q43" s="300"/>
      <c r="R43" s="385"/>
      <c r="S43" s="2301"/>
      <c r="T43" s="2237"/>
      <c r="U43" s="1040"/>
      <c r="V43" s="2228"/>
      <c r="W43" s="2229"/>
      <c r="X43" s="2228"/>
      <c r="Y43" s="2229"/>
      <c r="Z43" s="2323"/>
      <c r="AA43" s="2343"/>
      <c r="AB43" s="2344"/>
      <c r="AC43" s="2306"/>
      <c r="AD43" s="2358"/>
      <c r="AE43" s="2359"/>
      <c r="AF43" s="2359"/>
      <c r="AG43" s="2360"/>
      <c r="AH43" s="2358"/>
      <c r="AI43" s="2359"/>
      <c r="AJ43" s="2359"/>
      <c r="AK43" s="2360"/>
      <c r="AL43" s="2358"/>
      <c r="AM43" s="2359"/>
      <c r="AN43" s="2359"/>
      <c r="AO43" s="2360"/>
      <c r="AP43" s="2358"/>
      <c r="AQ43" s="2359"/>
      <c r="AR43" s="2359"/>
      <c r="AS43" s="2360"/>
      <c r="AT43" s="2228"/>
      <c r="AU43" s="2229"/>
      <c r="AV43" s="2228"/>
      <c r="AW43" s="2229"/>
      <c r="AX43" s="2323"/>
      <c r="AY43" s="2343"/>
      <c r="AZ43" s="2344"/>
      <c r="BA43" s="2306"/>
      <c r="BB43" s="2309"/>
      <c r="BC43" s="2155"/>
      <c r="BI43" s="1164">
        <v>14</v>
      </c>
    </row>
    <row customHeight="1" ht="14.699999999999998">
      <c r="A44" s="1379"/>
      <c r="B44" s="1379" t="s">
        <v>152</v>
      </c>
      <c r="C44" s="1379" t="s">
        <v>153</v>
      </c>
      <c r="D44" s="1379" t="s">
        <v>154</v>
      </c>
      <c r="E44" s="1373" t="s">
        <v>448</v>
      </c>
      <c r="F44" s="1373" t="s">
        <v>449</v>
      </c>
      <c r="G44" s="1373" t="s">
        <v>450</v>
      </c>
      <c r="H44" s="1373" t="s">
        <v>451</v>
      </c>
      <c r="I44" s="1373" t="s">
        <v>452</v>
      </c>
      <c r="J44" s="1373" t="s">
        <v>453</v>
      </c>
      <c r="K44" s="1373" t="s">
        <v>454</v>
      </c>
      <c r="L44" s="1373" t="s">
        <v>433</v>
      </c>
      <c r="Q44" s="300"/>
      <c r="R44" s="385"/>
      <c r="S44" s="2301"/>
      <c r="T44" s="2237"/>
      <c r="U44" s="311"/>
      <c r="V44" s="1488" t="s">
        <v>489</v>
      </c>
      <c r="W44" s="1488" t="s">
        <v>490</v>
      </c>
      <c r="X44" s="1488" t="s">
        <v>489</v>
      </c>
      <c r="Y44" s="1488" t="s">
        <v>490</v>
      </c>
      <c r="Z44" s="1498" t="s">
        <v>457</v>
      </c>
      <c r="AA44" s="2298" t="s">
        <v>458</v>
      </c>
      <c r="AB44" s="2299"/>
      <c r="AC44" s="2307"/>
      <c r="AD44" s="2361"/>
      <c r="AE44" s="2362"/>
      <c r="AF44" s="2362"/>
      <c r="AG44" s="2363"/>
      <c r="AH44" s="2361"/>
      <c r="AI44" s="2362"/>
      <c r="AJ44" s="2362"/>
      <c r="AK44" s="2363"/>
      <c r="AL44" s="2361"/>
      <c r="AM44" s="2362"/>
      <c r="AN44" s="2362"/>
      <c r="AO44" s="2363"/>
      <c r="AP44" s="2361"/>
      <c r="AQ44" s="2362"/>
      <c r="AR44" s="2362"/>
      <c r="AS44" s="2363"/>
      <c r="AT44" s="1488" t="s">
        <v>489</v>
      </c>
      <c r="AU44" s="1488" t="s">
        <v>490</v>
      </c>
      <c r="AV44" s="1488" t="s">
        <v>489</v>
      </c>
      <c r="AW44" s="1488" t="s">
        <v>490</v>
      </c>
      <c r="AX44" s="1498" t="s">
        <v>457</v>
      </c>
      <c r="AY44" s="2298" t="s">
        <v>458</v>
      </c>
      <c r="AZ44" s="2299"/>
      <c r="BA44" s="2307"/>
      <c r="BB44" s="2310"/>
      <c r="BC44" s="2155"/>
      <c r="BI44" s="1164">
        <v>14</v>
      </c>
    </row>
    <row s="1650" customFormat="1" customHeight="1" ht="0">
      <c r="A45" s="1379"/>
      <c r="B45" s="1379"/>
      <c r="C45" s="1379"/>
      <c r="D45" s="1379"/>
      <c r="E45" s="1379"/>
      <c r="F45" s="1379"/>
      <c r="G45" s="1379"/>
      <c r="H45" s="1379"/>
      <c r="I45" s="1379"/>
      <c r="J45" s="1379"/>
      <c r="K45" s="1379"/>
      <c r="L45" s="1373"/>
      <c r="M45" s="1371"/>
      <c r="N45" s="1371"/>
      <c r="O45" s="1371"/>
      <c r="P45" s="519"/>
      <c r="Q45" s="1263"/>
      <c r="R45" s="1263">
        <v>1</v>
      </c>
      <c r="S45" s="1286" t="s">
        <v>118</v>
      </c>
      <c r="T45" s="1264" t="s">
        <v>103</v>
      </c>
      <c r="U45" s="1254" t="str">
        <f>OFFSET(U45,0,-1)</f>
        <v>2</v>
      </c>
      <c r="V45" s="1491">
        <f>OFFSET(V45,0,-1)+1</f>
        <v>3</v>
      </c>
      <c r="W45" s="1491">
        <f>OFFSET(W45,0,-1)+1</f>
        <v>4</v>
      </c>
      <c r="X45" s="1491">
        <f>OFFSET(X45,0,-1)+1</f>
        <v>5</v>
      </c>
      <c r="Y45" s="1491">
        <f>OFFSET(Y45,0,-1)+1</f>
        <v>6</v>
      </c>
      <c r="Z45" s="1491">
        <f>OFFSET(Z45,0,-1)+1</f>
        <v>7</v>
      </c>
      <c r="AA45" s="2300">
        <f>OFFSET(AA45,0,-1)+1</f>
        <v>8</v>
      </c>
      <c r="AB45" s="2300"/>
      <c r="AC45" s="1491">
        <f>OFFSET(AC45,0,-2)+1</f>
        <v>9</v>
      </c>
      <c r="AD45" s="1491">
        <f>OFFSET(AD45,0,-1)+1</f>
        <v>10</v>
      </c>
      <c r="AE45" s="1491"/>
      <c r="AF45" s="1491"/>
      <c r="AG45" s="1491"/>
      <c r="AH45" s="1491"/>
      <c r="AI45" s="1491"/>
      <c r="AJ45" s="1491"/>
      <c r="AK45" s="1491"/>
      <c r="AL45" s="1491"/>
      <c r="AM45" s="1491"/>
      <c r="AN45" s="1491"/>
      <c r="AO45" s="1491"/>
      <c r="AP45" s="1491"/>
      <c r="AQ45" s="1491"/>
      <c r="AR45" s="1491"/>
      <c r="AS45" s="1491"/>
      <c r="AT45" s="1491"/>
      <c r="AU45" s="1491"/>
      <c r="AV45" s="1491"/>
      <c r="AW45" s="1491">
        <f>OFFSET(AW45,0,-1)+1</f>
        <v>1</v>
      </c>
      <c r="AX45" s="1491">
        <f>OFFSET(AX45,0,-1)+1</f>
        <v>2</v>
      </c>
      <c r="AY45" s="2300">
        <f>OFFSET(AY45,0,-1)+1</f>
        <v>3</v>
      </c>
      <c r="AZ45" s="2300"/>
      <c r="BA45" s="1491">
        <f>OFFSET(BA45,0,-2)+1</f>
        <v>4</v>
      </c>
      <c r="BB45" s="1254">
        <f>OFFSET(BB45,0,-1)</f>
        <v>4</v>
      </c>
      <c r="BC45" s="1491">
        <f>OFFSET(BC45,0,-1)+1</f>
        <v>5</v>
      </c>
      <c r="BD45" s="520"/>
      <c r="BE45" s="520"/>
      <c r="BF45" s="520"/>
      <c r="BG45" s="520"/>
      <c r="BH45" s="520"/>
      <c r="BI45" s="505">
        <v>0</v>
      </c>
    </row>
    <row customHeight="1" ht="22.049999999999997">
      <c r="A46" s="1372" t="s">
        <v>276</v>
      </c>
      <c r="B46" s="1372"/>
      <c r="C46" s="1372"/>
      <c r="D46" s="1372"/>
      <c r="E46" s="2286">
        <v>1</v>
      </c>
      <c r="F46" s="1372"/>
      <c r="G46" s="1372"/>
      <c r="H46" s="1372"/>
      <c r="I46" s="1372"/>
      <c r="J46" s="1372"/>
      <c r="K46" s="1372"/>
      <c r="L46" s="1373"/>
      <c r="M46" s="1374"/>
      <c r="N46" s="1374"/>
      <c r="O46" s="1374"/>
      <c r="P46" s="1418"/>
      <c r="Q46" s="882"/>
      <c r="R46" s="364"/>
      <c r="S46" s="1502">
        <f>INDEX(PT_DIFFERENTIATION_NUM_NTAR,MATCH(A46,PT_DIFFERENTIATION_NTAR_ID,0))</f>
        <v>0</v>
      </c>
      <c r="T46" s="307" t="s">
        <v>140</v>
      </c>
      <c r="U46" s="309"/>
      <c r="V46" s="2271"/>
      <c r="W46" s="2271"/>
      <c r="X46" s="2271"/>
      <c r="Y46" s="2271"/>
      <c r="Z46" s="2271"/>
      <c r="AA46" s="2271"/>
      <c r="AB46" s="2271"/>
      <c r="AC46" s="2272"/>
      <c r="AD46" s="2270" t="str">
        <f>INDEX(PT_DIFFERENTIATION_NTAR,MATCH(A46,PT_DIFFERENTIATION_NTAR_ID,0))</f>
        <v/>
      </c>
      <c r="AE46" s="2271"/>
      <c r="AF46" s="2271"/>
      <c r="AG46" s="2271"/>
      <c r="AH46" s="2271"/>
      <c r="AI46" s="2271"/>
      <c r="AJ46" s="2271"/>
      <c r="AK46" s="2271"/>
      <c r="AL46" s="2271"/>
      <c r="AM46" s="2271"/>
      <c r="AN46" s="2271"/>
      <c r="AO46" s="2271"/>
      <c r="AP46" s="2271"/>
      <c r="AQ46" s="2271"/>
      <c r="AR46" s="2271"/>
      <c r="AS46" s="2271"/>
      <c r="AT46" s="2271"/>
      <c r="AU46" s="2271"/>
      <c r="AV46" s="2271"/>
      <c r="AW46" s="2271"/>
      <c r="AX46" s="2271"/>
      <c r="AY46" s="2271"/>
      <c r="AZ46" s="2271"/>
      <c r="BA46" s="2271"/>
      <c r="BB46" s="2272"/>
      <c r="BC46" s="126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9"/>
      <c r="BF46" s="509" t="str">
        <f>IF(T46="","",T46)</f>
        <v>Наименование тарифа</v>
      </c>
      <c r="BG46" s="509"/>
      <c r="BH46" s="509"/>
      <c r="BI46" s="1164">
        <v>21</v>
      </c>
    </row>
    <row customHeight="1" ht="22.049999999999997">
      <c r="A47" s="1372" t="s">
        <v>276</v>
      </c>
      <c r="B47" s="1372" t="s">
        <v>277</v>
      </c>
      <c r="C47" s="1372"/>
      <c r="D47" s="1372"/>
      <c r="E47" s="2287"/>
      <c r="F47" s="2286">
        <v>1</v>
      </c>
      <c r="G47" s="1372"/>
      <c r="H47" s="1372"/>
      <c r="I47" s="1372"/>
      <c r="J47" s="1372"/>
      <c r="K47" s="1372"/>
      <c r="L47" s="1373"/>
      <c r="M47" s="1374"/>
      <c r="N47" s="1374"/>
      <c r="O47" s="1374"/>
      <c r="P47" s="1419"/>
      <c r="Q47" s="1420"/>
      <c r="R47" s="362"/>
      <c r="S47" s="1502" t="str">
        <f>INDEX(PT_DIFFERENTIATION_NUM_TER,MATCH(B47,PT_DIFFERENTIATION_TER_ID,0))</f>
        <v>.</v>
      </c>
      <c r="T47" s="317" t="s">
        <v>412</v>
      </c>
      <c r="U47" s="309"/>
      <c r="V47" s="2271"/>
      <c r="W47" s="2271"/>
      <c r="X47" s="2271"/>
      <c r="Y47" s="2271"/>
      <c r="Z47" s="2271"/>
      <c r="AA47" s="2271"/>
      <c r="AB47" s="2271"/>
      <c r="AC47" s="2272"/>
      <c r="AD47" s="2270" t="str">
        <f>INDEX(PT_DIFFERENTIATION_TER,MATCH(B47,PT_DIFFERENTIATION_TER_ID,0))</f>
        <v/>
      </c>
      <c r="AE47" s="2271"/>
      <c r="AF47" s="2271"/>
      <c r="AG47" s="2271"/>
      <c r="AH47" s="2271"/>
      <c r="AI47" s="2271"/>
      <c r="AJ47" s="2271"/>
      <c r="AK47" s="2271"/>
      <c r="AL47" s="2271"/>
      <c r="AM47" s="2271"/>
      <c r="AN47" s="2271"/>
      <c r="AO47" s="2271"/>
      <c r="AP47" s="2271"/>
      <c r="AQ47" s="2271"/>
      <c r="AR47" s="2271"/>
      <c r="AS47" s="2271"/>
      <c r="AT47" s="2271"/>
      <c r="AU47" s="2271"/>
      <c r="AV47" s="2271"/>
      <c r="AW47" s="2271"/>
      <c r="AX47" s="2271"/>
      <c r="AY47" s="2271"/>
      <c r="AZ47" s="2271"/>
      <c r="BA47" s="2271"/>
      <c r="BB47" s="2272"/>
      <c r="BC47" s="1267" t="s">
        <v>413</v>
      </c>
      <c r="BE47" s="509"/>
      <c r="BF47" s="509" t="str">
        <f>IF(T47="","",T47)</f>
        <v>Территория действия тарифа</v>
      </c>
      <c r="BG47" s="509"/>
      <c r="BH47" s="509"/>
      <c r="BI47" s="1164">
        <v>21</v>
      </c>
    </row>
    <row customHeight="1" ht="35.699999999999996">
      <c r="A48" s="1372" t="s">
        <v>276</v>
      </c>
      <c r="B48" s="1372" t="s">
        <v>277</v>
      </c>
      <c r="C48" s="1372" t="s">
        <v>278</v>
      </c>
      <c r="D48" s="1372"/>
      <c r="E48" s="2287"/>
      <c r="F48" s="2287"/>
      <c r="G48" s="2286">
        <v>1</v>
      </c>
      <c r="H48" s="1372"/>
      <c r="I48" s="1372"/>
      <c r="J48" s="1372"/>
      <c r="K48" s="1372"/>
      <c r="L48" s="1373"/>
      <c r="M48" s="1374"/>
      <c r="N48" s="1374"/>
      <c r="O48" s="1374"/>
      <c r="P48" s="1421"/>
      <c r="Q48" s="1420"/>
      <c r="R48" s="362"/>
      <c r="S48" s="1502" t="str">
        <f>INDEX(PT_DIFFERENTIATION_NUM_CS,MATCH(C48,PT_DIFFERENTIATION_CS_ID,0))</f>
        <v>..</v>
      </c>
      <c r="T48" s="318" t="s">
        <v>543</v>
      </c>
      <c r="U48" s="309"/>
      <c r="V48" s="2271"/>
      <c r="W48" s="2271"/>
      <c r="X48" s="2271"/>
      <c r="Y48" s="2271"/>
      <c r="Z48" s="2271"/>
      <c r="AA48" s="2271"/>
      <c r="AB48" s="2271"/>
      <c r="AC48" s="2272"/>
      <c r="AD48" s="2270" t="str">
        <f>INDEX(PT_DIFFERENTIATION_CS,MATCH(C48,PT_DIFFERENTIATION_CS_ID,0))</f>
        <v/>
      </c>
      <c r="AE48" s="2271"/>
      <c r="AF48" s="2271"/>
      <c r="AG48" s="2271"/>
      <c r="AH48" s="2271"/>
      <c r="AI48" s="2271"/>
      <c r="AJ48" s="2271"/>
      <c r="AK48" s="2271"/>
      <c r="AL48" s="2271"/>
      <c r="AM48" s="2271"/>
      <c r="AN48" s="2271"/>
      <c r="AO48" s="2271"/>
      <c r="AP48" s="2271"/>
      <c r="AQ48" s="2271"/>
      <c r="AR48" s="2271"/>
      <c r="AS48" s="2271"/>
      <c r="AT48" s="2271"/>
      <c r="AU48" s="2271"/>
      <c r="AV48" s="2271"/>
      <c r="AW48" s="2271"/>
      <c r="AX48" s="2271"/>
      <c r="AY48" s="2271"/>
      <c r="AZ48" s="2271"/>
      <c r="BA48" s="2271"/>
      <c r="BB48" s="2272"/>
      <c r="BC48" s="1267" t="s">
        <v>544</v>
      </c>
      <c r="BE48" s="509"/>
      <c r="BF48" s="509" t="str">
        <f>IF(T48="","",T48)</f>
        <v>Наименование централизованной системы горячего водоснабжения</v>
      </c>
      <c r="BG48" s="509"/>
      <c r="BH48" s="509"/>
      <c r="BI48" s="1164">
        <v>34</v>
      </c>
    </row>
    <row s="1651" customFormat="1" customHeight="1" ht="0">
      <c r="A49" s="1352" t="s">
        <v>276</v>
      </c>
      <c r="B49" s="1352" t="s">
        <v>277</v>
      </c>
      <c r="C49" s="1352" t="s">
        <v>278</v>
      </c>
      <c r="D49" s="1352" t="s">
        <v>557</v>
      </c>
      <c r="E49" s="2287"/>
      <c r="F49" s="2287"/>
      <c r="G49" s="2287"/>
      <c r="H49" s="2286">
        <v>1</v>
      </c>
      <c r="I49" s="1352"/>
      <c r="J49" s="1352"/>
      <c r="K49" s="1352"/>
      <c r="L49" s="1355"/>
      <c r="M49" s="1324"/>
      <c r="N49" s="1324"/>
      <c r="O49" s="1324"/>
      <c r="P49" s="1506"/>
      <c r="Q49" s="1507"/>
      <c r="R49" s="366"/>
      <c r="S49" s="1051"/>
      <c r="T49" s="1508"/>
      <c r="U49" s="1393"/>
      <c r="V49" s="2325"/>
      <c r="W49" s="2325"/>
      <c r="X49" s="2325"/>
      <c r="Y49" s="2325"/>
      <c r="Z49" s="2325"/>
      <c r="AA49" s="2325"/>
      <c r="AB49" s="2325"/>
      <c r="AC49" s="2326"/>
      <c r="AD49" s="2324"/>
      <c r="AE49" s="2325"/>
      <c r="AF49" s="2325"/>
      <c r="AG49" s="2325"/>
      <c r="AH49" s="2325"/>
      <c r="AI49" s="2325"/>
      <c r="AJ49" s="2325"/>
      <c r="AK49" s="2325"/>
      <c r="AL49" s="2325"/>
      <c r="AM49" s="2325"/>
      <c r="AN49" s="2325"/>
      <c r="AO49" s="2325"/>
      <c r="AP49" s="2325"/>
      <c r="AQ49" s="2325"/>
      <c r="AR49" s="2325"/>
      <c r="AS49" s="2325"/>
      <c r="AT49" s="2325"/>
      <c r="AU49" s="2325"/>
      <c r="AV49" s="2325"/>
      <c r="AW49" s="2325"/>
      <c r="AX49" s="2325"/>
      <c r="AY49" s="2325"/>
      <c r="AZ49" s="2325"/>
      <c r="BA49" s="2325"/>
      <c r="BB49" s="2326"/>
      <c r="BC49" s="1394" t="s">
        <v>417</v>
      </c>
      <c r="BE49" s="509"/>
      <c r="BF49" s="509" t="str">
        <f>IF(T49="","",T49)</f>
        <v/>
      </c>
      <c r="BG49" s="509"/>
      <c r="BH49" s="509"/>
      <c r="BI49" s="520">
        <v>0</v>
      </c>
    </row>
    <row s="1651" customFormat="1" customHeight="1" ht="0">
      <c r="A50" s="1352" t="s">
        <v>276</v>
      </c>
      <c r="B50" s="1352" t="s">
        <v>277</v>
      </c>
      <c r="C50" s="1352" t="s">
        <v>278</v>
      </c>
      <c r="D50" s="1352" t="s">
        <v>557</v>
      </c>
      <c r="E50" s="2287"/>
      <c r="F50" s="2287"/>
      <c r="G50" s="2287"/>
      <c r="H50" s="2287"/>
      <c r="I50" s="2284" t="str">
        <f>S49&amp;".1"</f>
        <v>.1</v>
      </c>
      <c r="J50" s="1352"/>
      <c r="K50" s="1352"/>
      <c r="L50" s="1355" t="s">
        <v>418</v>
      </c>
      <c r="M50" s="519"/>
      <c r="N50" s="519"/>
      <c r="O50" s="519"/>
      <c r="P50" s="2285">
        <v>1</v>
      </c>
      <c r="Q50" s="1490"/>
      <c r="R50" s="365"/>
      <c r="S50" s="1051"/>
      <c r="T50" s="1392"/>
      <c r="U50" s="1393"/>
      <c r="V50" s="2325"/>
      <c r="W50" s="2325"/>
      <c r="X50" s="2325"/>
      <c r="Y50" s="2325"/>
      <c r="Z50" s="2325"/>
      <c r="AA50" s="2325"/>
      <c r="AB50" s="2325"/>
      <c r="AC50" s="2326"/>
      <c r="AD50" s="2324"/>
      <c r="AE50" s="2325"/>
      <c r="AF50" s="2325"/>
      <c r="AG50" s="2325"/>
      <c r="AH50" s="2325"/>
      <c r="AI50" s="2325"/>
      <c r="AJ50" s="2325"/>
      <c r="AK50" s="2325"/>
      <c r="AL50" s="2325"/>
      <c r="AM50" s="2325"/>
      <c r="AN50" s="2325"/>
      <c r="AO50" s="2325"/>
      <c r="AP50" s="2325"/>
      <c r="AQ50" s="2325"/>
      <c r="AR50" s="2325"/>
      <c r="AS50" s="2325"/>
      <c r="AT50" s="2325"/>
      <c r="AU50" s="2325"/>
      <c r="AV50" s="2325"/>
      <c r="AW50" s="2325"/>
      <c r="AX50" s="2325"/>
      <c r="AY50" s="2325"/>
      <c r="AZ50" s="2325"/>
      <c r="BA50" s="2325"/>
      <c r="BB50" s="2326"/>
      <c r="BC50" s="1394"/>
      <c r="BE50" s="509"/>
      <c r="BF50" s="509" t="str">
        <f>IF(T50="","",T50)</f>
        <v/>
      </c>
      <c r="BG50" s="509"/>
      <c r="BH50" s="509"/>
      <c r="BI50" s="520">
        <v>0</v>
      </c>
    </row>
    <row s="1651" customFormat="1" customHeight="1" ht="0">
      <c r="A51" s="1352" t="s">
        <v>276</v>
      </c>
      <c r="B51" s="1352" t="s">
        <v>277</v>
      </c>
      <c r="C51" s="1352" t="s">
        <v>278</v>
      </c>
      <c r="D51" s="1352" t="s">
        <v>557</v>
      </c>
      <c r="E51" s="2287"/>
      <c r="F51" s="2287"/>
      <c r="G51" s="2287"/>
      <c r="H51" s="2287"/>
      <c r="I51" s="2314"/>
      <c r="J51" s="2284" t="str">
        <f>S49&amp;".1"</f>
        <v>.1</v>
      </c>
      <c r="K51" s="1352"/>
      <c r="L51" s="1355"/>
      <c r="M51" s="519"/>
      <c r="N51" s="519"/>
      <c r="O51" s="519"/>
      <c r="P51" s="2285"/>
      <c r="Q51" s="2285">
        <v>1</v>
      </c>
      <c r="R51" s="366"/>
      <c r="S51" s="1051"/>
      <c r="T51" s="1408"/>
      <c r="U51" s="1393"/>
      <c r="V51" s="2325"/>
      <c r="W51" s="2325"/>
      <c r="X51" s="2325"/>
      <c r="Y51" s="2325"/>
      <c r="Z51" s="2325"/>
      <c r="AA51" s="2325"/>
      <c r="AB51" s="2325"/>
      <c r="AC51" s="2326"/>
      <c r="AD51" s="2324"/>
      <c r="AE51" s="2325"/>
      <c r="AF51" s="2325"/>
      <c r="AG51" s="2325"/>
      <c r="AH51" s="2325"/>
      <c r="AI51" s="2325"/>
      <c r="AJ51" s="2325"/>
      <c r="AK51" s="2325"/>
      <c r="AL51" s="2325"/>
      <c r="AM51" s="2325"/>
      <c r="AN51" s="2392"/>
      <c r="AO51" s="2392"/>
      <c r="AP51" s="2325"/>
      <c r="AQ51" s="2325"/>
      <c r="AR51" s="2325"/>
      <c r="AS51" s="2325"/>
      <c r="AT51" s="2325"/>
      <c r="AU51" s="2325"/>
      <c r="AV51" s="2325"/>
      <c r="AW51" s="2325"/>
      <c r="AX51" s="2325"/>
      <c r="AY51" s="2325"/>
      <c r="AZ51" s="2325"/>
      <c r="BA51" s="2325"/>
      <c r="BB51" s="2326"/>
      <c r="BC51" s="1394"/>
      <c r="BE51" s="509"/>
      <c r="BF51" s="509" t="str">
        <f>IF(T51="","",T51)</f>
        <v/>
      </c>
      <c r="BG51" s="509"/>
      <c r="BH51" s="509"/>
      <c r="BI51" s="520">
        <v>0</v>
      </c>
    </row>
    <row customHeight="1" ht="11.549999999999999">
      <c r="A52" s="1372" t="s">
        <v>276</v>
      </c>
      <c r="B52" s="1372" t="s">
        <v>277</v>
      </c>
      <c r="C52" s="1372" t="s">
        <v>278</v>
      </c>
      <c r="D52" s="1372" t="s">
        <v>557</v>
      </c>
      <c r="E52" s="2287"/>
      <c r="F52" s="2287"/>
      <c r="G52" s="2287"/>
      <c r="H52" s="2287"/>
      <c r="I52" s="2314"/>
      <c r="J52" s="2314"/>
      <c r="K52" s="2284" t="str">
        <f>S48&amp;".1"</f>
        <v>...1</v>
      </c>
      <c r="L52" s="1373"/>
      <c r="P52" s="2285"/>
      <c r="Q52" s="2285"/>
      <c r="R52" s="366">
        <v>1</v>
      </c>
      <c r="S52" s="2369" t="str">
        <f>$K52</f>
        <v>...1</v>
      </c>
      <c r="T52" s="2388"/>
      <c r="U52" s="309"/>
      <c r="V52" s="760"/>
      <c r="W52" s="1266"/>
      <c r="X52" s="760"/>
      <c r="Y52" s="1266"/>
      <c r="Z52" s="1742"/>
      <c r="AA52" s="1478" t="s">
        <v>63</v>
      </c>
      <c r="AB52" s="1742"/>
      <c r="AC52" s="1478" t="s">
        <v>63</v>
      </c>
      <c r="AD52" s="2213" t="s">
        <v>63</v>
      </c>
      <c r="AE52" s="2354"/>
      <c r="AF52" s="2233">
        <v>1</v>
      </c>
      <c r="AG52" s="2391"/>
      <c r="AH52" s="2135" t="s">
        <v>63</v>
      </c>
      <c r="AI52" s="2354"/>
      <c r="AJ52" s="2233">
        <v>1</v>
      </c>
      <c r="AK52" s="2355" t="s">
        <v>22</v>
      </c>
      <c r="AL52" s="2135" t="s">
        <v>63</v>
      </c>
      <c r="AM52" s="2220"/>
      <c r="AN52" s="2233">
        <v>1</v>
      </c>
      <c r="AO52" s="2385"/>
      <c r="AP52" s="2386" t="s">
        <v>63</v>
      </c>
      <c r="AQ52" s="320"/>
      <c r="AR52" s="1495">
        <v>1</v>
      </c>
      <c r="AS52" s="1501" t="s">
        <v>22</v>
      </c>
      <c r="AT52" s="760"/>
      <c r="AU52" s="1266"/>
      <c r="AV52" s="760"/>
      <c r="AW52" s="1266"/>
      <c r="AX52" s="1742"/>
      <c r="AY52" s="1478" t="s">
        <v>63</v>
      </c>
      <c r="AZ52" s="1742"/>
      <c r="BA52" s="1478" t="s">
        <v>63</v>
      </c>
      <c r="BB52" s="1357"/>
      <c r="BC52" s="2281" t="s">
        <v>512</v>
      </c>
      <c r="BE52" s="509"/>
      <c r="BF52" s="509" t="str">
        <f>IF(T52="","",T52)</f>
        <v/>
      </c>
      <c r="BG52" s="509"/>
      <c r="BH52" s="509"/>
      <c r="BI52" s="1164">
        <v>11</v>
      </c>
    </row>
    <row customHeight="1" ht="11.549999999999999">
      <c r="A53" s="1372"/>
      <c r="B53" s="1372"/>
      <c r="C53" s="1372"/>
      <c r="D53" s="1372"/>
      <c r="E53" s="2287"/>
      <c r="F53" s="2287"/>
      <c r="G53" s="2287"/>
      <c r="H53" s="2287"/>
      <c r="I53" s="2314"/>
      <c r="J53" s="2314"/>
      <c r="K53" s="2284"/>
      <c r="L53" s="1373"/>
      <c r="P53" s="2285"/>
      <c r="Q53" s="2285"/>
      <c r="R53" s="366"/>
      <c r="S53" s="2370"/>
      <c r="T53" s="2389"/>
      <c r="U53" s="309"/>
      <c r="V53" s="1402"/>
      <c r="W53" s="1505"/>
      <c r="X53" s="1402"/>
      <c r="Y53" s="1505"/>
      <c r="Z53" s="1402"/>
      <c r="AA53" s="1402"/>
      <c r="AB53" s="1402"/>
      <c r="AC53" s="1402"/>
      <c r="AD53" s="2214"/>
      <c r="AE53" s="2354"/>
      <c r="AF53" s="2233"/>
      <c r="AG53" s="2391"/>
      <c r="AH53" s="2135"/>
      <c r="AI53" s="2354"/>
      <c r="AJ53" s="2233"/>
      <c r="AK53" s="2355"/>
      <c r="AL53" s="2135"/>
      <c r="AM53" s="2228"/>
      <c r="AN53" s="2233"/>
      <c r="AO53" s="2385"/>
      <c r="AP53" s="2387"/>
      <c r="AQ53" s="325"/>
      <c r="AR53" s="425"/>
      <c r="AS53" s="425" t="s">
        <v>513</v>
      </c>
      <c r="AT53" s="1402"/>
      <c r="AU53" s="1505"/>
      <c r="AV53" s="1402"/>
      <c r="AW53" s="1505"/>
      <c r="AX53" s="1402"/>
      <c r="AY53" s="1402"/>
      <c r="AZ53" s="1402"/>
      <c r="BA53" s="1402"/>
      <c r="BB53" s="1406"/>
      <c r="BC53" s="2282"/>
      <c r="BE53" s="509"/>
      <c r="BF53" s="509"/>
      <c r="BG53" s="509"/>
      <c r="BH53" s="509"/>
      <c r="BI53" s="1164">
        <v>11</v>
      </c>
    </row>
    <row customHeight="1" ht="11.549999999999999">
      <c r="A54" s="1372" t="s">
        <v>276</v>
      </c>
      <c r="B54" s="1372"/>
      <c r="C54" s="1372"/>
      <c r="D54" s="1372"/>
      <c r="E54" s="2287"/>
      <c r="F54" s="2287"/>
      <c r="G54" s="2287"/>
      <c r="H54" s="2287"/>
      <c r="I54" s="2314"/>
      <c r="J54" s="2314"/>
      <c r="K54" s="2284"/>
      <c r="L54" s="1373"/>
      <c r="P54" s="2285"/>
      <c r="Q54" s="2285"/>
      <c r="R54" s="366"/>
      <c r="S54" s="2370"/>
      <c r="T54" s="2389"/>
      <c r="U54" s="309"/>
      <c r="V54" s="1402"/>
      <c r="W54" s="1505"/>
      <c r="X54" s="1402"/>
      <c r="Y54" s="1505"/>
      <c r="Z54" s="1402"/>
      <c r="AA54" s="1402"/>
      <c r="AB54" s="1402"/>
      <c r="AC54" s="1402"/>
      <c r="AD54" s="2214"/>
      <c r="AE54" s="2354"/>
      <c r="AF54" s="2233"/>
      <c r="AG54" s="2391"/>
      <c r="AH54" s="2135"/>
      <c r="AI54" s="2354"/>
      <c r="AJ54" s="2233"/>
      <c r="AK54" s="2355"/>
      <c r="AL54" s="2135"/>
      <c r="AM54" s="325"/>
      <c r="AN54" s="1509"/>
      <c r="AO54" s="1509" t="s">
        <v>514</v>
      </c>
      <c r="AP54" s="425"/>
      <c r="AQ54" s="425"/>
      <c r="AR54" s="425"/>
      <c r="AS54" s="1402"/>
      <c r="AT54" s="1402"/>
      <c r="AU54" s="1505"/>
      <c r="AV54" s="1402"/>
      <c r="AW54" s="1505"/>
      <c r="AX54" s="1402"/>
      <c r="AY54" s="1402"/>
      <c r="AZ54" s="1402"/>
      <c r="BA54" s="1402"/>
      <c r="BB54" s="1406"/>
      <c r="BC54" s="2282"/>
      <c r="BE54" s="509"/>
      <c r="BF54" s="509"/>
      <c r="BG54" s="509"/>
      <c r="BH54" s="509"/>
      <c r="BI54" s="1164">
        <v>11</v>
      </c>
    </row>
    <row customHeight="1" ht="11.549999999999999">
      <c r="A55" s="1372" t="s">
        <v>276</v>
      </c>
      <c r="B55" s="1372"/>
      <c r="C55" s="1372"/>
      <c r="D55" s="1372"/>
      <c r="E55" s="2287"/>
      <c r="F55" s="2287"/>
      <c r="G55" s="2287"/>
      <c r="H55" s="2287"/>
      <c r="I55" s="2314"/>
      <c r="J55" s="2314"/>
      <c r="K55" s="2284"/>
      <c r="L55" s="1373"/>
      <c r="P55" s="2285"/>
      <c r="Q55" s="2285"/>
      <c r="R55" s="366"/>
      <c r="S55" s="2370"/>
      <c r="T55" s="2389"/>
      <c r="U55" s="309"/>
      <c r="V55" s="1402"/>
      <c r="W55" s="1505"/>
      <c r="X55" s="1402"/>
      <c r="Y55" s="1505"/>
      <c r="Z55" s="1402"/>
      <c r="AA55" s="1402"/>
      <c r="AB55" s="1402"/>
      <c r="AC55" s="1402"/>
      <c r="AD55" s="2214"/>
      <c r="AE55" s="2354"/>
      <c r="AF55" s="2233"/>
      <c r="AG55" s="2391"/>
      <c r="AH55" s="2135"/>
      <c r="AI55" s="303"/>
      <c r="AJ55" s="424"/>
      <c r="AK55" s="322" t="s">
        <v>515</v>
      </c>
      <c r="AL55" s="1402"/>
      <c r="AM55" s="1402"/>
      <c r="AN55" s="1402"/>
      <c r="AO55" s="1402"/>
      <c r="AP55" s="1402"/>
      <c r="AQ55" s="1402"/>
      <c r="AR55" s="1402"/>
      <c r="AS55" s="1402"/>
      <c r="AT55" s="1402"/>
      <c r="AU55" s="1505"/>
      <c r="AV55" s="1402"/>
      <c r="AW55" s="1505"/>
      <c r="AX55" s="1402"/>
      <c r="AY55" s="1402"/>
      <c r="AZ55" s="1402"/>
      <c r="BA55" s="1402"/>
      <c r="BB55" s="1406"/>
      <c r="BC55" s="2282"/>
      <c r="BE55" s="509"/>
      <c r="BF55" s="509"/>
      <c r="BG55" s="509"/>
      <c r="BH55" s="509"/>
      <c r="BI55" s="1164">
        <v>11</v>
      </c>
    </row>
    <row customHeight="1" ht="11.549999999999999">
      <c r="A56" s="1372" t="s">
        <v>276</v>
      </c>
      <c r="B56" s="1372" t="s">
        <v>277</v>
      </c>
      <c r="C56" s="1372" t="s">
        <v>278</v>
      </c>
      <c r="D56" s="1372" t="s">
        <v>557</v>
      </c>
      <c r="E56" s="2287"/>
      <c r="F56" s="2287"/>
      <c r="G56" s="2287"/>
      <c r="H56" s="2287"/>
      <c r="I56" s="2314"/>
      <c r="J56" s="2314"/>
      <c r="K56" s="2284"/>
      <c r="L56" s="1373"/>
      <c r="P56" s="2285"/>
      <c r="Q56" s="2285"/>
      <c r="R56" s="366"/>
      <c r="S56" s="2371"/>
      <c r="T56" s="2390"/>
      <c r="U56" s="309"/>
      <c r="V56" s="1402"/>
      <c r="W56" s="1403" t="str">
        <f>Z52&amp;"-"&amp;AB52</f>
        <v>-</v>
      </c>
      <c r="X56" s="1402"/>
      <c r="Y56" s="1403" t="str">
        <f>AB52&amp;"-"&amp;AD52</f>
        <v>-да</v>
      </c>
      <c r="Z56" s="1402"/>
      <c r="AA56" s="1402"/>
      <c r="AB56" s="1402"/>
      <c r="AC56" s="1402"/>
      <c r="AD56" s="2140"/>
      <c r="AE56" s="321"/>
      <c r="AF56" s="323"/>
      <c r="AG56" s="425" t="s">
        <v>516</v>
      </c>
      <c r="AH56" s="1402"/>
      <c r="AI56" s="1402"/>
      <c r="AJ56" s="1402"/>
      <c r="AK56" s="1402"/>
      <c r="AL56" s="1402"/>
      <c r="AM56" s="1402"/>
      <c r="AN56" s="1402"/>
      <c r="AO56" s="1402"/>
      <c r="AP56" s="1402"/>
      <c r="AQ56" s="1402"/>
      <c r="AR56" s="1402"/>
      <c r="AS56" s="1402"/>
      <c r="AT56" s="1402"/>
      <c r="AU56" s="1403" t="str">
        <f>AX52&amp;"-"&amp;AZ52</f>
        <v>-</v>
      </c>
      <c r="AV56" s="1402"/>
      <c r="AW56" s="1403" t="str">
        <f>AZ52&amp;"-"&amp;BB52</f>
        <v>-</v>
      </c>
      <c r="AX56" s="1402"/>
      <c r="AY56" s="1402"/>
      <c r="AZ56" s="1402"/>
      <c r="BA56" s="1402"/>
      <c r="BB56" s="1405" t="str">
        <f>BE52&amp;"-"&amp;BG52</f>
        <v>-</v>
      </c>
      <c r="BC56" s="2282"/>
      <c r="BE56" s="509"/>
      <c r="BF56" s="509" t="str">
        <f>IF(T56="","",T56)</f>
        <v/>
      </c>
      <c r="BG56" s="509"/>
      <c r="BH56" s="509"/>
      <c r="BI56" s="1164">
        <v>11</v>
      </c>
    </row>
    <row customHeight="1" ht="11.549999999999999">
      <c r="A57" s="1372" t="s">
        <v>276</v>
      </c>
      <c r="B57" s="1372" t="s">
        <v>277</v>
      </c>
      <c r="C57" s="1372" t="s">
        <v>278</v>
      </c>
      <c r="D57" s="1372" t="s">
        <v>557</v>
      </c>
      <c r="E57" s="2287"/>
      <c r="F57" s="2287"/>
      <c r="G57" s="2287"/>
      <c r="H57" s="2287"/>
      <c r="I57" s="2314"/>
      <c r="J57" s="2284"/>
      <c r="K57" s="1372"/>
      <c r="L57" s="1373"/>
      <c r="P57" s="2285"/>
      <c r="Q57" s="2285"/>
      <c r="R57" s="365"/>
      <c r="S57" s="1287"/>
      <c r="T57" s="296" t="s">
        <v>479</v>
      </c>
      <c r="U57" s="376"/>
      <c r="V57" s="376"/>
      <c r="W57" s="376"/>
      <c r="X57" s="376"/>
      <c r="Y57" s="376"/>
      <c r="Z57" s="376"/>
      <c r="AA57" s="376"/>
      <c r="AB57" s="376"/>
      <c r="AC57" s="333"/>
      <c r="AD57" s="1514"/>
      <c r="AE57" s="376"/>
      <c r="AF57" s="376"/>
      <c r="AG57" s="376"/>
      <c r="AH57" s="376"/>
      <c r="AI57" s="376"/>
      <c r="AJ57" s="376"/>
      <c r="AK57" s="376"/>
      <c r="AL57" s="376"/>
      <c r="AM57" s="376"/>
      <c r="AN57" s="376"/>
      <c r="AO57" s="376"/>
      <c r="AP57" s="376"/>
      <c r="AQ57" s="376"/>
      <c r="AR57" s="376"/>
      <c r="AS57" s="376"/>
      <c r="AT57" s="376"/>
      <c r="AU57" s="376"/>
      <c r="AV57" s="376"/>
      <c r="AW57" s="376"/>
      <c r="AX57" s="376"/>
      <c r="AY57" s="376"/>
      <c r="AZ57" s="376"/>
      <c r="BA57" s="376"/>
      <c r="BB57" s="333"/>
      <c r="BC57" s="2283"/>
      <c r="BE57" s="509"/>
      <c r="BF57" s="509" t="str">
        <f>IF(T57="","",T57)</f>
        <v>Добавить строку</v>
      </c>
      <c r="BG57" s="509"/>
      <c r="BH57" s="509"/>
      <c r="BI57" s="1164">
        <v>11</v>
      </c>
    </row>
    <row s="1651" customFormat="1" customHeight="1" ht="0">
      <c r="A58" s="1352" t="s">
        <v>276</v>
      </c>
      <c r="B58" s="1352" t="s">
        <v>277</v>
      </c>
      <c r="C58" s="1352" t="s">
        <v>278</v>
      </c>
      <c r="D58" s="1352" t="s">
        <v>557</v>
      </c>
      <c r="E58" s="2287"/>
      <c r="F58" s="2287"/>
      <c r="G58" s="2287"/>
      <c r="H58" s="2287"/>
      <c r="I58" s="2284"/>
      <c r="J58" s="1352"/>
      <c r="K58" s="1352"/>
      <c r="L58" s="1355"/>
      <c r="M58" s="519"/>
      <c r="N58" s="519"/>
      <c r="O58" s="519"/>
      <c r="P58" s="2285"/>
      <c r="Q58" s="1490"/>
      <c r="R58" s="365"/>
      <c r="S58" s="1395"/>
      <c r="T58" s="1396"/>
      <c r="U58" s="1397"/>
      <c r="V58" s="1397"/>
      <c r="W58" s="1397"/>
      <c r="X58" s="1397"/>
      <c r="Y58" s="1397"/>
      <c r="Z58" s="1397"/>
      <c r="AA58" s="1397"/>
      <c r="AB58" s="1397"/>
      <c r="AC58" s="1397"/>
      <c r="AD58" s="1397"/>
      <c r="AE58" s="1397"/>
      <c r="AF58" s="1397"/>
      <c r="AG58" s="1397"/>
      <c r="AH58" s="1397"/>
      <c r="AI58" s="1397"/>
      <c r="AJ58" s="1397"/>
      <c r="AK58" s="1397"/>
      <c r="AL58" s="1397"/>
      <c r="AM58" s="1397"/>
      <c r="AN58" s="1397"/>
      <c r="AO58" s="1397"/>
      <c r="AP58" s="1397"/>
      <c r="AQ58" s="1397"/>
      <c r="AR58" s="1397"/>
      <c r="AS58" s="1397"/>
      <c r="AT58" s="1397"/>
      <c r="AU58" s="1397"/>
      <c r="AV58" s="1397"/>
      <c r="AW58" s="1397"/>
      <c r="AX58" s="1397"/>
      <c r="AY58" s="1397"/>
      <c r="AZ58" s="1397"/>
      <c r="BA58" s="1397"/>
      <c r="BB58" s="1397"/>
      <c r="BC58" s="1398"/>
      <c r="BE58" s="509"/>
      <c r="BF58" s="509" t="str">
        <f>IF(T58="","",T58)</f>
        <v/>
      </c>
      <c r="BG58" s="509"/>
      <c r="BH58" s="509"/>
      <c r="BI58" s="520">
        <v>0</v>
      </c>
    </row>
    <row s="1651" customFormat="1" customHeight="1" ht="0">
      <c r="A59" s="1352" t="s">
        <v>276</v>
      </c>
      <c r="B59" s="1352" t="s">
        <v>277</v>
      </c>
      <c r="C59" s="1352" t="s">
        <v>278</v>
      </c>
      <c r="D59" s="1352" t="s">
        <v>557</v>
      </c>
      <c r="E59" s="2287"/>
      <c r="F59" s="2287"/>
      <c r="G59" s="2287"/>
      <c r="H59" s="2286"/>
      <c r="I59" s="1352"/>
      <c r="J59" s="1352"/>
      <c r="K59" s="1352"/>
      <c r="L59" s="1355"/>
      <c r="M59" s="1324"/>
      <c r="N59" s="1324"/>
      <c r="O59" s="527"/>
      <c r="P59" s="389"/>
      <c r="Q59" s="1353"/>
      <c r="R59" s="1410"/>
      <c r="S59" s="1395"/>
      <c r="T59" s="1396"/>
      <c r="U59" s="1397"/>
      <c r="V59" s="1397"/>
      <c r="W59" s="1397"/>
      <c r="X59" s="1397"/>
      <c r="Y59" s="1397"/>
      <c r="Z59" s="1397"/>
      <c r="AA59" s="1397"/>
      <c r="AB59" s="1397"/>
      <c r="AC59" s="1397"/>
      <c r="AD59" s="1397"/>
      <c r="AE59" s="1397"/>
      <c r="AF59" s="1397"/>
      <c r="AG59" s="1397"/>
      <c r="AH59" s="1397"/>
      <c r="AI59" s="1397"/>
      <c r="AJ59" s="1397"/>
      <c r="AK59" s="1397"/>
      <c r="AL59" s="1397"/>
      <c r="AM59" s="1397"/>
      <c r="AN59" s="1397"/>
      <c r="AO59" s="1397"/>
      <c r="AP59" s="1397"/>
      <c r="AQ59" s="1397"/>
      <c r="AR59" s="1397"/>
      <c r="AS59" s="1397"/>
      <c r="AT59" s="1397"/>
      <c r="AU59" s="1397"/>
      <c r="AV59" s="1397"/>
      <c r="AW59" s="1397"/>
      <c r="AX59" s="1397"/>
      <c r="AY59" s="1397"/>
      <c r="AZ59" s="1397"/>
      <c r="BA59" s="1397"/>
      <c r="BB59" s="1397"/>
      <c r="BC59" s="1398"/>
      <c r="BE59" s="509"/>
      <c r="BF59" s="509" t="str">
        <f>IF(T59="","",T59)</f>
        <v/>
      </c>
      <c r="BG59" s="509"/>
      <c r="BH59" s="509"/>
      <c r="BI59" s="520">
        <v>0</v>
      </c>
    </row>
    <row s="1651" customFormat="1" customHeight="1" ht="0">
      <c r="A60" s="1352" t="s">
        <v>276</v>
      </c>
      <c r="B60" s="1352" t="s">
        <v>277</v>
      </c>
      <c r="C60" s="1352" t="s">
        <v>278</v>
      </c>
      <c r="D60" s="1323"/>
      <c r="E60" s="2287"/>
      <c r="F60" s="2287"/>
      <c r="G60" s="2286"/>
      <c r="H60" s="1323"/>
      <c r="I60" s="1323"/>
      <c r="J60" s="1323"/>
      <c r="K60" s="1323"/>
      <c r="L60" s="1503"/>
      <c r="M60" s="1324"/>
      <c r="N60" s="1324"/>
      <c r="P60" s="1325"/>
      <c r="Q60" s="1326"/>
      <c r="R60" s="1325"/>
      <c r="S60" s="1331"/>
      <c r="T60" s="1334"/>
      <c r="U60" s="1333"/>
      <c r="V60" s="1333"/>
      <c r="W60" s="1333"/>
      <c r="X60" s="1333"/>
      <c r="Y60" s="1333"/>
      <c r="Z60" s="1333"/>
      <c r="AA60" s="1333"/>
      <c r="AB60" s="1333"/>
      <c r="AC60" s="1333"/>
      <c r="AD60" s="1333"/>
      <c r="AE60" s="1333"/>
      <c r="AF60" s="1333"/>
      <c r="AG60" s="1333"/>
      <c r="AH60" s="1333"/>
      <c r="AI60" s="1333"/>
      <c r="AJ60" s="1333"/>
      <c r="AK60" s="1333"/>
      <c r="AL60" s="1333"/>
      <c r="AM60" s="1333"/>
      <c r="AN60" s="1333"/>
      <c r="AO60" s="1333"/>
      <c r="AP60" s="1333"/>
      <c r="AQ60" s="1333"/>
      <c r="AR60" s="1333"/>
      <c r="AS60" s="1333"/>
      <c r="AT60" s="1333"/>
      <c r="AU60" s="1333"/>
      <c r="AV60" s="1333"/>
      <c r="AW60" s="1333"/>
      <c r="AX60" s="1333"/>
      <c r="AY60" s="1333"/>
      <c r="AZ60" s="1333"/>
      <c r="BA60" s="1333"/>
      <c r="BB60" s="1333"/>
      <c r="BC60" s="1333"/>
      <c r="BE60" s="798"/>
      <c r="BF60" s="798" t="str">
        <f>IF(T60="","",T60)</f>
        <v/>
      </c>
      <c r="BG60" s="798"/>
      <c r="BH60" s="798"/>
      <c r="BI60" s="527">
        <v>0</v>
      </c>
    </row>
    <row s="1651" customFormat="1" customHeight="1" ht="0">
      <c r="A61" s="1352" t="s">
        <v>276</v>
      </c>
      <c r="B61" s="1352" t="s">
        <v>277</v>
      </c>
      <c r="C61" s="1323"/>
      <c r="D61" s="1323"/>
      <c r="E61" s="2287"/>
      <c r="F61" s="2286"/>
      <c r="G61" s="1323"/>
      <c r="H61" s="1323"/>
      <c r="I61" s="1323"/>
      <c r="J61" s="1323"/>
      <c r="K61" s="1323"/>
      <c r="L61" s="1503"/>
      <c r="M61" s="1330"/>
      <c r="N61" s="1330"/>
      <c r="P61" s="1325"/>
      <c r="Q61" s="1326"/>
      <c r="R61" s="1325"/>
      <c r="S61" s="1331"/>
      <c r="T61" s="1334" t="s">
        <v>430</v>
      </c>
      <c r="U61" s="1333"/>
      <c r="V61" s="1333"/>
      <c r="W61" s="1333"/>
      <c r="X61" s="1333"/>
      <c r="Y61" s="1333"/>
      <c r="Z61" s="1333"/>
      <c r="AA61" s="1333"/>
      <c r="AB61" s="1333"/>
      <c r="AC61" s="1333"/>
      <c r="AD61" s="1333"/>
      <c r="AE61" s="1333"/>
      <c r="AF61" s="1333"/>
      <c r="AG61" s="1333"/>
      <c r="AH61" s="1333"/>
      <c r="AI61" s="1333"/>
      <c r="AJ61" s="1333"/>
      <c r="AK61" s="1333"/>
      <c r="AL61" s="1333"/>
      <c r="AM61" s="1333"/>
      <c r="AN61" s="1333"/>
      <c r="AO61" s="1333"/>
      <c r="AP61" s="1333"/>
      <c r="AQ61" s="1333"/>
      <c r="AR61" s="1333"/>
      <c r="AS61" s="1333"/>
      <c r="AT61" s="1333"/>
      <c r="AU61" s="1333"/>
      <c r="AV61" s="1333"/>
      <c r="AW61" s="1333"/>
      <c r="AX61" s="1333"/>
      <c r="AY61" s="1333"/>
      <c r="AZ61" s="1333"/>
      <c r="BA61" s="1333"/>
      <c r="BB61" s="1333"/>
      <c r="BC61" s="1333"/>
      <c r="BE61" s="798"/>
      <c r="BF61" s="798" t="str">
        <f>IF(T61="","",T61)</f>
        <v>Добавить централизованную систему для дифференциации</v>
      </c>
      <c r="BG61" s="798"/>
      <c r="BH61" s="798"/>
      <c r="BI61" s="527">
        <v>0</v>
      </c>
    </row>
    <row s="1651" customFormat="1" customHeight="1" ht="0">
      <c r="A62" s="1352" t="s">
        <v>276</v>
      </c>
      <c r="B62" s="1352"/>
      <c r="C62" s="1352"/>
      <c r="D62" s="1352"/>
      <c r="E62" s="2286"/>
      <c r="F62" s="1352"/>
      <c r="G62" s="1352"/>
      <c r="H62" s="1352"/>
      <c r="I62" s="1352"/>
      <c r="J62" s="1352"/>
      <c r="K62" s="1352"/>
      <c r="L62" s="1355"/>
      <c r="M62" s="1330"/>
      <c r="N62" s="1330"/>
      <c r="O62" s="527"/>
      <c r="P62" s="389"/>
      <c r="Q62" s="1353"/>
      <c r="R62" s="389"/>
      <c r="S62" s="1331"/>
      <c r="T62" s="1334" t="s">
        <v>431</v>
      </c>
      <c r="U62" s="1333"/>
      <c r="V62" s="1333"/>
      <c r="W62" s="1333"/>
      <c r="X62" s="1333"/>
      <c r="Y62" s="1333"/>
      <c r="Z62" s="1333"/>
      <c r="AA62" s="1333"/>
      <c r="AB62" s="1333"/>
      <c r="AC62" s="1333"/>
      <c r="AD62" s="1333"/>
      <c r="AE62" s="1333"/>
      <c r="AF62" s="1333"/>
      <c r="AG62" s="1333"/>
      <c r="AH62" s="1333"/>
      <c r="AI62" s="1333"/>
      <c r="AJ62" s="1333"/>
      <c r="AK62" s="1333"/>
      <c r="AL62" s="1333"/>
      <c r="AM62" s="1333"/>
      <c r="AN62" s="1333"/>
      <c r="AO62" s="1333"/>
      <c r="AP62" s="1333"/>
      <c r="AQ62" s="1333"/>
      <c r="AR62" s="1333"/>
      <c r="AS62" s="1333"/>
      <c r="AT62" s="1333"/>
      <c r="AU62" s="1333"/>
      <c r="AV62" s="1333"/>
      <c r="AW62" s="1333"/>
      <c r="AX62" s="1333"/>
      <c r="AY62" s="1333"/>
      <c r="AZ62" s="1333"/>
      <c r="BA62" s="1333"/>
      <c r="BB62" s="1333"/>
      <c r="BC62" s="1333"/>
      <c r="BE62" s="509"/>
      <c r="BF62" s="509" t="str">
        <f>IF(T62="","",T62)</f>
        <v>Добавить территорию для дифференциации</v>
      </c>
      <c r="BG62" s="509"/>
      <c r="BH62" s="509"/>
      <c r="BI62" s="520">
        <v>0</v>
      </c>
    </row>
    <row s="1651" customFormat="1" customHeight="1" ht="0">
      <c r="A63" s="1323"/>
      <c r="B63" s="1323"/>
      <c r="C63" s="1323"/>
      <c r="D63" s="1323"/>
      <c r="E63" s="1352"/>
      <c r="F63" s="1323"/>
      <c r="G63" s="1323"/>
      <c r="H63" s="1323"/>
      <c r="I63" s="1323"/>
      <c r="J63" s="1323"/>
      <c r="K63" s="1323"/>
      <c r="L63" s="1503"/>
      <c r="M63" s="1330"/>
      <c r="N63" s="1330"/>
      <c r="P63" s="1325"/>
      <c r="Q63" s="1326"/>
      <c r="R63" s="1325"/>
      <c r="S63" s="1331"/>
      <c r="T63" s="1334" t="s">
        <v>459</v>
      </c>
      <c r="U63" s="1333"/>
      <c r="V63" s="1333"/>
      <c r="W63" s="1333"/>
      <c r="X63" s="1333"/>
      <c r="Y63" s="1333"/>
      <c r="Z63" s="1333"/>
      <c r="AA63" s="1333"/>
      <c r="AB63" s="1333"/>
      <c r="AC63" s="1333"/>
      <c r="AD63" s="1333"/>
      <c r="AE63" s="1333"/>
      <c r="AF63" s="1333"/>
      <c r="AG63" s="1333"/>
      <c r="AH63" s="1333"/>
      <c r="AI63" s="1333"/>
      <c r="AJ63" s="1333"/>
      <c r="AK63" s="1333"/>
      <c r="AL63" s="1333"/>
      <c r="AM63" s="1333"/>
      <c r="AN63" s="1333"/>
      <c r="AO63" s="1333"/>
      <c r="AP63" s="1333"/>
      <c r="AQ63" s="1333"/>
      <c r="AR63" s="1333"/>
      <c r="AS63" s="1333"/>
      <c r="AT63" s="1333"/>
      <c r="AU63" s="1333"/>
      <c r="AV63" s="1333"/>
      <c r="AW63" s="1333"/>
      <c r="AX63" s="1333"/>
      <c r="AY63" s="1333"/>
      <c r="AZ63" s="1333"/>
      <c r="BA63" s="1333"/>
      <c r="BB63" s="1333"/>
      <c r="BC63" s="1333"/>
      <c r="BE63" s="798"/>
      <c r="BF63" s="798" t="str">
        <f>IF(T63="","",T63)</f>
        <v>Добавить наименование тарифа</v>
      </c>
      <c r="BG63" s="798"/>
      <c r="BH63" s="798"/>
      <c r="BI63" s="527">
        <v>0</v>
      </c>
    </row>
    <row customHeight="1" ht="11.549999999999999">
      <c r="M64" s="1169"/>
      <c r="N64" s="1169"/>
      <c r="O64" s="546"/>
      <c r="P64" s="1169"/>
      <c r="Q64" s="1169"/>
      <c r="R64" s="1164"/>
      <c r="S64" s="1164"/>
      <c r="BD64" s="1164"/>
      <c r="BE64" s="1164"/>
      <c r="BF64" s="1164"/>
      <c r="BG64" s="1164"/>
      <c r="BH64" s="1164"/>
      <c r="BI64" s="1164">
        <v>11</v>
      </c>
    </row>
    <row customHeight="1" ht="19.95">
      <c r="O65" s="546"/>
      <c r="S65" s="1262"/>
      <c r="T65" s="2313"/>
      <c r="U65" s="2313"/>
      <c r="V65" s="2313"/>
      <c r="W65" s="2313"/>
      <c r="X65" s="2313"/>
      <c r="Y65" s="2313"/>
      <c r="Z65" s="2313"/>
      <c r="AA65" s="2313"/>
      <c r="AB65" s="2313"/>
      <c r="AC65" s="2313"/>
      <c r="AD65" s="2313"/>
      <c r="AE65" s="2313"/>
      <c r="AF65" s="2313"/>
      <c r="AG65" s="2313"/>
      <c r="AH65" s="2313"/>
      <c r="AI65" s="2313"/>
      <c r="AJ65" s="2313"/>
      <c r="AK65" s="2313"/>
      <c r="AL65" s="2313"/>
      <c r="AM65" s="2313"/>
      <c r="AN65" s="2313"/>
      <c r="AO65" s="2313"/>
      <c r="AP65" s="2313"/>
      <c r="AQ65" s="2313"/>
      <c r="AR65" s="2313"/>
      <c r="AS65" s="2313"/>
      <c r="AT65" s="2313"/>
      <c r="AU65" s="2313"/>
      <c r="AV65" s="2313"/>
      <c r="AW65" s="2313"/>
      <c r="AX65" s="2313"/>
      <c r="AY65" s="2313"/>
      <c r="AZ65" s="2313"/>
      <c r="BA65" s="2313"/>
      <c r="BB65" s="2313"/>
      <c r="BC65" s="2313"/>
      <c r="BI65" s="1164">
        <v>19</v>
      </c>
    </row>
    <row customHeight="1" ht="14.699999999999998">
      <c r="O66" s="546"/>
      <c r="T66" s="1489"/>
      <c r="U66" s="1489"/>
      <c r="V66" s="1489"/>
      <c r="W66" s="1489"/>
      <c r="X66" s="1489"/>
      <c r="Y66" s="1489"/>
      <c r="Z66" s="1489"/>
      <c r="AA66" s="1489"/>
      <c r="AB66" s="1489"/>
      <c r="AC66" s="1489"/>
      <c r="AD66" s="1489"/>
      <c r="AE66" s="1489"/>
      <c r="AF66" s="1489"/>
      <c r="AG66" s="1489"/>
      <c r="AH66" s="1489"/>
      <c r="AI66" s="1489"/>
      <c r="AJ66" s="1489"/>
      <c r="AK66" s="1489"/>
      <c r="AL66" s="1489"/>
      <c r="AM66" s="1489"/>
      <c r="AN66" s="1489"/>
      <c r="AO66" s="1489"/>
      <c r="AP66" s="1489"/>
      <c r="AQ66" s="1489"/>
      <c r="AR66" s="1489"/>
      <c r="AS66" s="1489"/>
      <c r="AT66" s="1489"/>
      <c r="AU66" s="1489"/>
      <c r="AV66" s="1489"/>
      <c r="AW66" s="1489"/>
      <c r="AX66" s="1489"/>
      <c r="AY66" s="1489"/>
      <c r="AZ66" s="1489"/>
      <c r="BA66" s="1489"/>
      <c r="BB66" s="1489"/>
      <c r="BC66" s="1489"/>
      <c r="BI66" s="1164">
        <v>14</v>
      </c>
    </row>
    <row customHeight="1" ht="19.95">
      <c r="O67" s="546"/>
      <c r="S67" s="1262"/>
      <c r="T67" s="2313"/>
      <c r="U67" s="2313"/>
      <c r="V67" s="2313"/>
      <c r="W67" s="2313"/>
      <c r="X67" s="2313"/>
      <c r="Y67" s="2313"/>
      <c r="Z67" s="2313"/>
      <c r="AA67" s="2313"/>
      <c r="AB67" s="2313"/>
      <c r="AC67" s="2313"/>
      <c r="AD67" s="2313"/>
      <c r="AE67" s="2313"/>
      <c r="AF67" s="2313"/>
      <c r="AG67" s="2313"/>
      <c r="AH67" s="2313"/>
      <c r="AI67" s="2313"/>
      <c r="AJ67" s="2313"/>
      <c r="AK67" s="2313"/>
      <c r="AL67" s="2313"/>
      <c r="AM67" s="2313"/>
      <c r="AN67" s="2313"/>
      <c r="AO67" s="2313"/>
      <c r="AP67" s="2313"/>
      <c r="AQ67" s="2313"/>
      <c r="AR67" s="2313"/>
      <c r="AS67" s="2313"/>
      <c r="AT67" s="2313"/>
      <c r="AU67" s="2313"/>
      <c r="AV67" s="2313"/>
      <c r="AW67" s="2313"/>
      <c r="AX67" s="2313"/>
      <c r="AY67" s="2313"/>
      <c r="AZ67" s="2313"/>
      <c r="BA67" s="2313"/>
      <c r="BB67" s="2313"/>
      <c r="BC67" s="2313"/>
      <c r="BI67" s="1164">
        <v>19</v>
      </c>
    </row>
    <row customHeight="1" ht="14.699999999999998">
      <c r="O68" s="546"/>
      <c r="BI68" s="1164">
        <v>14</v>
      </c>
    </row>
    <row customHeight="1" ht="14.25" hidden="1">
      <c r="A69" s="1169" t="s">
        <v>83</v>
      </c>
      <c r="B69" s="1169">
        <v>0</v>
      </c>
      <c r="C69" s="1169">
        <v>0</v>
      </c>
      <c r="D69" s="1169">
        <v>0</v>
      </c>
      <c r="E69" s="1169">
        <v>0</v>
      </c>
      <c r="F69" s="1169">
        <v>0</v>
      </c>
      <c r="G69" s="1169">
        <v>0</v>
      </c>
      <c r="H69" s="1169">
        <v>0</v>
      </c>
      <c r="I69" s="1169">
        <v>0</v>
      </c>
      <c r="J69" s="1169">
        <v>0</v>
      </c>
      <c r="K69" s="1169">
        <v>0</v>
      </c>
      <c r="L69" s="1487">
        <v>0</v>
      </c>
      <c r="M69" s="1371">
        <v>0</v>
      </c>
      <c r="N69" s="1371">
        <v>0</v>
      </c>
      <c r="O69" s="1371">
        <v>0</v>
      </c>
      <c r="P69" s="1371">
        <v>0</v>
      </c>
      <c r="Q69" s="1380">
        <v>0</v>
      </c>
      <c r="R69" s="353">
        <v>3</v>
      </c>
      <c r="S69" s="590">
        <v>12</v>
      </c>
      <c r="T69" s="1164">
        <v>31</v>
      </c>
      <c r="U69" s="1164">
        <v>0</v>
      </c>
      <c r="V69" s="1164">
        <v>0</v>
      </c>
      <c r="W69" s="1164">
        <v>0</v>
      </c>
      <c r="X69" s="1164">
        <v>0</v>
      </c>
      <c r="Y69" s="1164">
        <v>0</v>
      </c>
      <c r="Z69" s="1164">
        <v>0</v>
      </c>
      <c r="AA69" s="1164">
        <v>0</v>
      </c>
      <c r="AB69" s="1164">
        <v>0</v>
      </c>
      <c r="AC69" s="1164">
        <v>0</v>
      </c>
      <c r="AD69" s="1164">
        <v>3</v>
      </c>
      <c r="AE69" s="1164">
        <v>3</v>
      </c>
      <c r="AF69" s="1164">
        <v>3</v>
      </c>
      <c r="AG69" s="1164">
        <v>24</v>
      </c>
      <c r="AH69" s="1164">
        <v>3</v>
      </c>
      <c r="AI69" s="1164">
        <v>3</v>
      </c>
      <c r="AJ69" s="1164">
        <v>3</v>
      </c>
      <c r="AK69" s="1164">
        <v>24</v>
      </c>
      <c r="AL69" s="1164">
        <v>3</v>
      </c>
      <c r="AM69" s="1164">
        <v>3</v>
      </c>
      <c r="AN69" s="1164">
        <v>3</v>
      </c>
      <c r="AO69" s="1164">
        <v>18</v>
      </c>
      <c r="AP69" s="1164">
        <v>3</v>
      </c>
      <c r="AQ69" s="1164">
        <v>3</v>
      </c>
      <c r="AR69" s="1164">
        <v>3</v>
      </c>
      <c r="AS69" s="1164">
        <v>18</v>
      </c>
      <c r="AT69" s="1164">
        <v>21</v>
      </c>
      <c r="AU69" s="1164">
        <v>21</v>
      </c>
      <c r="AV69" s="1164">
        <v>21</v>
      </c>
      <c r="AW69" s="1164">
        <v>21</v>
      </c>
      <c r="AX69" s="1164">
        <v>11</v>
      </c>
      <c r="AY69" s="1164">
        <v>3</v>
      </c>
      <c r="AZ69" s="1164">
        <v>11</v>
      </c>
      <c r="BA69" s="1164">
        <v>0</v>
      </c>
      <c r="BB69" s="1164">
        <v>4</v>
      </c>
      <c r="BC69" s="1164">
        <v>115</v>
      </c>
      <c r="BD69" s="520">
        <v>10</v>
      </c>
      <c r="BE69" s="520">
        <v>10</v>
      </c>
      <c r="BF69" s="520">
        <v>10</v>
      </c>
      <c r="BG69" s="520">
        <v>10</v>
      </c>
      <c r="BH69" s="520">
        <v>10</v>
      </c>
      <c r="BI69" s="1164">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A988A3-8955-B3A6-9128-0.4D1E1D99}" mc:Ignorable="x14ac xr xr2 xr3">
  <sheetPr>
    <tabColor theme="9" tint="-0.25"/>
  </sheetPr>
  <dimension ref="A1:AI327"/>
  <sheetViews>
    <sheetView showGridLines="0" zoomScale="80" workbookViewId="0">
      <pane xSplit="8" ySplit="29" topLeftCell="I89" activePane="bottomRight" state="frozen"/>
      <selection pane="bottomLeft" activeCell="A30" sqref="A30"/>
      <selection pane="topRight" activeCell="I1" sqref="I1"/>
      <selection pane="bottomRight" activeCell="I134" sqref="I134"/>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4.00390625" customWidth="1"/>
    <col min="7" max="7" style="1644" width="10.00390625" customWidth="1"/>
    <col min="8" max="8" style="1644" width="40.7109375" hidden="1" customWidth="1"/>
    <col min="9" max="9" style="1644" width="40.00390625" customWidth="1"/>
    <col min="10" max="10" style="1644" width="27.140625" customWidth="1"/>
    <col min="11" max="11" style="1644" width="24.140625" customWidth="1"/>
    <col min="12" max="12" style="1644" width="18.140625" customWidth="1"/>
    <col min="13" max="13" style="1644" width="102.00390625" customWidth="1"/>
    <col min="14" max="14" style="1375" width="9.00390625" customWidth="1"/>
    <col min="15" max="15" style="1651" width="5.00390625" customWidth="1"/>
    <col min="16" max="16" style="1651" width="3.00390625" customWidth="1"/>
    <col min="17" max="20" style="1375" width="3.00390625" customWidth="1"/>
    <col min="21" max="21" style="1651" width="10.00390625" customWidth="1"/>
    <col min="22" max="22" style="1375" width="34.00390625" customWidth="1"/>
    <col min="23" max="23" style="1375" width="9.00390625" customWidth="1"/>
    <col min="24" max="24" style="745" width="8.00390625" customWidth="1"/>
    <col min="25" max="29" style="1375" width="8.00390625" customWidth="1"/>
    <col min="30" max="34" style="1641" width="8.00390625" customWidth="1"/>
    <col min="35" max="35" style="1644" width="9.140625" hidden="1"/>
  </cols>
  <sheetData>
    <row customHeight="1" ht="22.5" hidden="1">
      <c r="J1" s="1644"/>
      <c r="K1" s="1644"/>
      <c r="L1" s="1644"/>
      <c r="AI1" s="1640" t="s">
        <v>14</v>
      </c>
    </row>
    <row customHeight="1" ht="23.25" hidden="1">
      <c r="B2" s="2127"/>
      <c r="C2" s="1176" t="s">
        <v>558</v>
      </c>
      <c r="D2" s="1647"/>
      <c r="E2" s="555">
        <f>B2</f>
        <v>0</v>
      </c>
      <c r="F2" s="556"/>
      <c r="G2" s="1655" t="s">
        <v>559</v>
      </c>
      <c r="H2" s="1655" t="s">
        <v>559</v>
      </c>
      <c r="I2" s="1655" t="s">
        <v>559</v>
      </c>
      <c r="J2" s="2340" t="s">
        <v>559</v>
      </c>
      <c r="K2" s="2340" t="s">
        <v>559</v>
      </c>
      <c r="L2" s="2340" t="s">
        <v>559</v>
      </c>
      <c r="M2" s="298" t="s">
        <v>560</v>
      </c>
      <c r="N2" s="552"/>
      <c r="AI2" s="1640">
        <v>0</v>
      </c>
    </row>
    <row s="1651" customFormat="1" customHeight="1" ht="0.75" hidden="1">
      <c r="B3" s="2127"/>
      <c r="C3" s="1176"/>
      <c r="D3" s="557"/>
      <c r="E3" s="558"/>
      <c r="F3" s="559" t="s">
        <v>561</v>
      </c>
      <c r="G3" s="560"/>
      <c r="H3" s="1022">
        <f>H4*H5+H6</f>
        <v>0</v>
      </c>
      <c r="I3" s="560">
        <f>I4*I5+I6</f>
        <v>0</v>
      </c>
      <c r="J3" s="1382">
        <f>J4*J5+J6</f>
        <v>0</v>
      </c>
      <c r="K3" s="1382">
        <f>K4*K5+K6</f>
        <v>0</v>
      </c>
      <c r="L3" s="1382">
        <f>L4*L5+L6</f>
        <v>0</v>
      </c>
      <c r="M3" s="561"/>
      <c r="AI3" s="1645">
        <v>0</v>
      </c>
    </row>
    <row customHeight="1" ht="23.25" hidden="1">
      <c r="B4" s="2127"/>
      <c r="C4" s="1176"/>
      <c r="D4" s="1647"/>
      <c r="E4" s="555" t="str">
        <f>B2&amp;".1"</f>
        <v>.1</v>
      </c>
      <c r="F4" s="562" t="s">
        <v>562</v>
      </c>
      <c r="G4" s="563"/>
      <c r="H4" s="550"/>
      <c r="I4" s="550"/>
      <c r="J4" s="760"/>
      <c r="K4" s="760"/>
      <c r="L4" s="760"/>
      <c r="M4" s="298" t="s">
        <v>563</v>
      </c>
      <c r="N4" s="552"/>
      <c r="AI4" s="1640">
        <v>0</v>
      </c>
    </row>
    <row customHeight="1" ht="18.75" hidden="1">
      <c r="B5" s="2127"/>
      <c r="C5" s="1176"/>
      <c r="D5" s="1647"/>
      <c r="E5" s="555" t="str">
        <f>B2&amp;".2"</f>
        <v>.2</v>
      </c>
      <c r="F5" s="562" t="s">
        <v>564</v>
      </c>
      <c r="G5" s="1655" t="s">
        <v>565</v>
      </c>
      <c r="H5" s="550"/>
      <c r="I5" s="550"/>
      <c r="J5" s="760"/>
      <c r="K5" s="760"/>
      <c r="L5" s="760"/>
      <c r="M5" s="298"/>
      <c r="N5" s="552"/>
      <c r="AI5" s="1640">
        <v>0</v>
      </c>
    </row>
    <row customHeight="1" ht="18.75" hidden="1">
      <c r="B6" s="2127"/>
      <c r="C6" s="1176"/>
      <c r="D6" s="1647"/>
      <c r="E6" s="555" t="str">
        <f>B2&amp;".3"</f>
        <v>.3</v>
      </c>
      <c r="F6" s="562" t="s">
        <v>566</v>
      </c>
      <c r="G6" s="1655" t="s">
        <v>565</v>
      </c>
      <c r="H6" s="550"/>
      <c r="I6" s="550"/>
      <c r="J6" s="760"/>
      <c r="K6" s="760"/>
      <c r="L6" s="760"/>
      <c r="M6" s="298"/>
      <c r="N6" s="552"/>
      <c r="AI6" s="1640">
        <v>0</v>
      </c>
    </row>
    <row customHeight="1" ht="18.75" hidden="1">
      <c r="B7" s="2127"/>
      <c r="C7" s="1176"/>
      <c r="D7" s="1647"/>
      <c r="E7" s="555" t="str">
        <f>B2&amp;".4"</f>
        <v>.4</v>
      </c>
      <c r="F7" s="562" t="s">
        <v>567</v>
      </c>
      <c r="G7" s="1655" t="s">
        <v>559</v>
      </c>
      <c r="H7" s="564"/>
      <c r="I7" s="564"/>
      <c r="J7" s="564"/>
      <c r="K7" s="564"/>
      <c r="L7" s="564"/>
      <c r="M7" s="298"/>
      <c r="N7" s="552"/>
      <c r="AI7" s="1640">
        <v>0</v>
      </c>
    </row>
    <row s="1375" customFormat="1" customHeight="1" ht="11.25" hidden="1">
      <c r="A8" s="996"/>
      <c r="C8" s="1645"/>
      <c r="D8" s="546"/>
      <c r="H8" s="1169">
        <v>4</v>
      </c>
      <c r="I8" s="1169">
        <v>4</v>
      </c>
      <c r="J8" s="1375">
        <v>4</v>
      </c>
      <c r="K8" s="1375">
        <v>4</v>
      </c>
      <c r="L8" s="1375">
        <v>4</v>
      </c>
      <c r="O8" s="1645"/>
      <c r="P8" s="1645"/>
      <c r="U8" s="1645"/>
      <c r="AI8" s="1169">
        <v>0</v>
      </c>
    </row>
    <row s="1375" customFormat="1" customHeight="1" ht="22.5" hidden="1">
      <c r="A9" s="996"/>
      <c r="C9" s="1645"/>
      <c r="D9" s="547"/>
      <c r="E9" s="1657"/>
      <c r="F9" s="549"/>
      <c r="G9" s="1655" t="s">
        <v>565</v>
      </c>
      <c r="H9" s="550"/>
      <c r="I9" s="550"/>
      <c r="J9" s="760"/>
      <c r="K9" s="760"/>
      <c r="L9" s="760"/>
      <c r="M9" s="551" t="s">
        <v>568</v>
      </c>
      <c r="N9" s="552"/>
      <c r="O9" s="1645"/>
      <c r="P9" s="1645"/>
      <c r="U9" s="1645"/>
      <c r="X9" s="553"/>
      <c r="AD9" s="1641"/>
      <c r="AE9" s="1641"/>
      <c r="AF9" s="1641"/>
      <c r="AG9" s="1641"/>
      <c r="AH9" s="1641"/>
      <c r="AI9" s="1169">
        <v>0</v>
      </c>
    </row>
    <row customHeight="1" ht="11.25" hidden="1">
      <c r="J10" s="1644"/>
      <c r="K10" s="1644"/>
      <c r="L10" s="1644"/>
      <c r="AI10" s="1640">
        <v>0</v>
      </c>
    </row>
    <row customHeight="1" ht="18.75" hidden="1">
      <c r="D11" s="1647"/>
      <c r="E11" s="555"/>
      <c r="F11" s="549"/>
      <c r="G11" s="1655" t="s">
        <v>569</v>
      </c>
      <c r="H11" s="550"/>
      <c r="I11" s="550"/>
      <c r="J11" s="760"/>
      <c r="K11" s="760"/>
      <c r="L11" s="760"/>
      <c r="M11" s="298" t="s">
        <v>570</v>
      </c>
      <c r="N11" s="552"/>
      <c r="AI11" s="1640">
        <v>0</v>
      </c>
    </row>
    <row customHeight="1" ht="11.25" hidden="1">
      <c r="J12" s="1644"/>
      <c r="K12" s="1644"/>
      <c r="L12" s="1644"/>
      <c r="AI12" s="1640">
        <v>0</v>
      </c>
    </row>
    <row customHeight="1" ht="22.5" hidden="1">
      <c r="D13" s="1647"/>
      <c r="E13" s="555"/>
      <c r="F13" s="549"/>
      <c r="G13" s="978" t="s">
        <v>571</v>
      </c>
      <c r="H13" s="554"/>
      <c r="I13" s="554"/>
      <c r="J13" s="554"/>
      <c r="K13" s="554"/>
      <c r="L13" s="554"/>
      <c r="M13" s="754" t="s">
        <v>572</v>
      </c>
      <c r="N13" s="552"/>
      <c r="AI13" s="1640">
        <v>0</v>
      </c>
    </row>
    <row customHeight="1" ht="11.25" hidden="1">
      <c r="J14" s="1644"/>
      <c r="K14" s="1644"/>
      <c r="L14" s="1644"/>
      <c r="AI14" s="1640">
        <v>0</v>
      </c>
    </row>
    <row customHeight="1" ht="22.5" hidden="1">
      <c r="D15" s="1647"/>
      <c r="E15" s="555"/>
      <c r="F15" s="549"/>
      <c r="G15" s="1655" t="s">
        <v>573</v>
      </c>
      <c r="H15" s="554"/>
      <c r="I15" s="554"/>
      <c r="J15" s="554"/>
      <c r="K15" s="554"/>
      <c r="L15" s="554"/>
      <c r="M15" s="298" t="s">
        <v>574</v>
      </c>
      <c r="N15" s="552"/>
      <c r="AI15" s="1640">
        <v>0</v>
      </c>
    </row>
    <row customHeight="1" ht="11.25" hidden="1">
      <c r="J16" s="1644"/>
      <c r="K16" s="1644"/>
      <c r="L16" s="1644"/>
      <c r="AI16" s="1640">
        <v>0</v>
      </c>
    </row>
    <row customHeight="1" ht="22.5" hidden="1">
      <c r="D17" s="1647"/>
      <c r="E17" s="555"/>
      <c r="F17" s="549"/>
      <c r="G17" s="1655" t="s">
        <v>575</v>
      </c>
      <c r="H17" s="554"/>
      <c r="I17" s="554"/>
      <c r="J17" s="554"/>
      <c r="K17" s="554"/>
      <c r="L17" s="554"/>
      <c r="M17" s="298" t="s">
        <v>576</v>
      </c>
      <c r="N17" s="552"/>
      <c r="AI17" s="1640">
        <v>0</v>
      </c>
    </row>
    <row customHeight="1" ht="11.25" hidden="1">
      <c r="J18" s="1644"/>
      <c r="K18" s="1644"/>
      <c r="L18" s="1644"/>
      <c r="AI18" s="1640">
        <v>0</v>
      </c>
    </row>
    <row s="1641" customFormat="1" customHeight="1" ht="11.25" hidden="1">
      <c r="A19" s="996"/>
      <c r="B19" s="1169"/>
      <c r="C19" s="1645"/>
      <c r="D19" s="371"/>
      <c r="J19" s="1641"/>
      <c r="K19" s="1641"/>
      <c r="L19" s="1641"/>
      <c r="M19" s="1641">
        <v>4</v>
      </c>
      <c r="N19" s="1169"/>
      <c r="O19" s="1645"/>
      <c r="P19" s="1645"/>
      <c r="Q19" s="1169"/>
      <c r="R19" s="1169"/>
      <c r="S19" s="1169"/>
      <c r="T19" s="1169"/>
      <c r="U19" s="1645"/>
      <c r="V19" s="1169"/>
      <c r="W19" s="1169"/>
      <c r="X19" s="553"/>
      <c r="Y19" s="1169"/>
      <c r="Z19" s="1169"/>
      <c r="AA19" s="1169"/>
      <c r="AB19" s="1169"/>
      <c r="AC19" s="1169"/>
      <c r="AI19" s="1641">
        <v>0</v>
      </c>
    </row>
    <row customHeight="1" ht="11.549999999999999">
      <c r="J20" s="1644"/>
      <c r="K20" s="1644"/>
      <c r="L20" s="1644"/>
      <c r="AI20" s="1640">
        <v>11</v>
      </c>
    </row>
    <row customHeight="1" ht="25.2">
      <c r="E21" s="227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76"/>
      <c r="G21" s="2276"/>
      <c r="H21" s="2276"/>
      <c r="I21" s="2276"/>
      <c r="J21" s="2276"/>
      <c r="K21" s="2276"/>
      <c r="L21" s="2276"/>
      <c r="M21" s="565"/>
      <c r="AI21" s="1640">
        <v>24</v>
      </c>
    </row>
    <row customHeight="1" ht="25.2">
      <c r="E22" s="2277" t="str">
        <f>IF(org=0,"Не определено",org)</f>
        <v>АО "ДГК"</v>
      </c>
      <c r="F22" s="2277"/>
      <c r="G22" s="2277"/>
      <c r="H22" s="2277"/>
      <c r="I22" s="2277"/>
      <c r="J22" s="2277"/>
      <c r="K22" s="2277"/>
      <c r="L22" s="2277"/>
      <c r="AI22" s="1640">
        <v>24</v>
      </c>
    </row>
    <row customHeight="1" ht="11.549999999999999">
      <c r="E23" s="1144"/>
      <c r="F23" s="1144"/>
      <c r="G23" s="1144"/>
      <c r="H23" s="1144"/>
      <c r="I23" s="1144"/>
      <c r="J23" s="1145" t="s">
        <v>22</v>
      </c>
      <c r="K23" s="1145" t="s">
        <v>22</v>
      </c>
      <c r="L23" s="1145" t="s">
        <v>22</v>
      </c>
      <c r="AI23" s="1640">
        <v>11</v>
      </c>
    </row>
    <row s="1651" customFormat="1" customHeight="1" ht="1.05">
      <c r="A24" s="1176"/>
      <c r="D24" s="1651"/>
      <c r="H24" s="898"/>
      <c r="I24" s="898" t="s">
        <v>126</v>
      </c>
      <c r="J24" s="898" t="s">
        <v>131</v>
      </c>
      <c r="K24" s="898" t="s">
        <v>134</v>
      </c>
      <c r="L24" s="898" t="s">
        <v>136</v>
      </c>
      <c r="AI24" s="1645">
        <v>1</v>
      </c>
    </row>
    <row customHeight="1" ht="11.549999999999999">
      <c r="E25" s="720"/>
      <c r="F25" s="2395" t="s">
        <v>114</v>
      </c>
      <c r="G25" s="2396"/>
      <c r="H25" s="1661" t="str">
        <f>IF(H24="","",INDEX(DIFFERENTIATION_UNMERGE_VD,MATCH(H24,DIFFERENTIATION_ID_DIFF,0)))</f>
        <v/>
      </c>
      <c r="I25" s="1661" t="str">
        <f>IF(I24="","",INDEX(DIFFERENTIATION_UNMERGE_VD,MATCH(I24,DIFFERENTIATION_ID_DIFF,0)))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5" s="2421" t="str">
        <f>IF(J24="","",INDEX(DIFFERENTIATION_UNMERGE_VD,MATCH(J24,DIFFERENTIATION_ID_DIFF,0)))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25" s="2421" t="str">
        <f>IF(K24="","",INDEX(DIFFERENTIATION_UNMERGE_VD,MATCH(K24,DIFFERENTIATION_ID_DIFF,0)))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5" s="2421" t="str">
        <f>IF(L24="","",INDEX(DIFFERENTIATION_UNMERGE_VD,MATCH(L24,DIFFERENTIATION_ID_DIFF,0)))</f>
        <v>Подключение (технологическое присоединение) к системе теплоснабжения</v>
      </c>
      <c r="M25" s="2155"/>
      <c r="AI25" s="1640">
        <v>11</v>
      </c>
    </row>
    <row customHeight="1" ht="11.549999999999999">
      <c r="E26" s="720"/>
      <c r="F26" s="2395" t="s">
        <v>577</v>
      </c>
      <c r="G26" s="2396"/>
      <c r="H26" s="1661" t="str">
        <f>IF(H24="","",INDEX(DIFFERENTIATION_UNMERGE_AREA,MATCH(H24,DIFFERENTIATION_ID_DIFF,0)))</f>
        <v/>
      </c>
      <c r="I26" s="1661" t="str">
        <f>IF(I24="","",INDEX(DIFFERENTIATION_UNMERGE_AREA,MATCH(I24,DIFFERENTIATION_ID_DIFF,0)))</f>
        <v>Территория 1</v>
      </c>
      <c r="J26" s="2421" t="str">
        <f>IF(J24="","",INDEX(DIFFERENTIATION_UNMERGE_AREA,MATCH(J24,DIFFERENTIATION_ID_DIFF,0)))</f>
        <v>Территория 3</v>
      </c>
      <c r="K26" s="2421" t="str">
        <f>IF(K24="","",INDEX(DIFFERENTIATION_UNMERGE_AREA,MATCH(K24,DIFFERENTIATION_ID_DIFF,0)))</f>
        <v>Территория 2</v>
      </c>
      <c r="L26" s="2421" t="str">
        <f>IF(L24="","",INDEX(DIFFERENTIATION_UNMERGE_AREA,MATCH(L24,DIFFERENTIATION_ID_DIFF,0)))</f>
        <v>без дифференциации</v>
      </c>
      <c r="M26" s="2155"/>
      <c r="AI26" s="1640">
        <v>11</v>
      </c>
    </row>
    <row customHeight="1" ht="11.549999999999999">
      <c r="E27" s="720"/>
      <c r="F27" s="2395" t="s">
        <v>578</v>
      </c>
      <c r="G27" s="2396"/>
      <c r="H27" s="1661" t="str">
        <f>IF(H24="","",INDEX(DIFFERENTIATION_UNMERGE_SYSTEM,MATCH(H24,DIFFERENTIATION_ID_DIFF,0)))</f>
        <v/>
      </c>
      <c r="I27" s="1661" t="str">
        <f>IF(I24="","",INDEX(DIFFERENTIATION_UNMERGE_SYSTEM,MATCH(I24,DIFFERENTIATION_ID_DIFF,0)))</f>
        <v>Артемовская ТЭЦ, ТС г. Артем</v>
      </c>
      <c r="J27" s="2421" t="str">
        <f>IF(J24="","",INDEX(DIFFERENTIATION_UNMERGE_SYSTEM,MATCH(J24,DIFFERENTIATION_ID_DIFF,0)))</f>
        <v>Партизанская ГРЭС, ТС г. Партизанск</v>
      </c>
      <c r="K27" s="2421" t="str">
        <f>IF(K24="","",INDEX(DIFFERENTIATION_UNMERGE_SYSTEM,MATCH(K24,DIFFERENTIATION_ID_DIFF,0)))</f>
        <v>Восточная ТЭЦ, котельные г. Владивосток, ТС г. Владивосток</v>
      </c>
      <c r="L27" s="2421" t="str">
        <f>IF(L24="","",INDEX(DIFFERENTIATION_UNMERGE_SYSTEM,MATCH(L24,DIFFERENTIATION_ID_DIFF,0)))</f>
        <v>без дифференциации</v>
      </c>
      <c r="M27" s="2155"/>
      <c r="AI27" s="1640">
        <v>11</v>
      </c>
    </row>
    <row customHeight="1" ht="11.549999999999999">
      <c r="E28" s="2397" t="s">
        <v>315</v>
      </c>
      <c r="F28" s="2398"/>
      <c r="G28" s="2398"/>
      <c r="H28" s="1654"/>
      <c r="I28" s="1654"/>
      <c r="J28" s="2395"/>
      <c r="K28" s="2395"/>
      <c r="L28" s="2395"/>
      <c r="M28" s="2155"/>
      <c r="AI28" s="1640">
        <v>11</v>
      </c>
    </row>
    <row customHeight="1" ht="24">
      <c r="E29" s="1655" t="s">
        <v>89</v>
      </c>
      <c r="F29" s="1662" t="s">
        <v>317</v>
      </c>
      <c r="G29" s="1662" t="s">
        <v>579</v>
      </c>
      <c r="H29" s="1662" t="s">
        <v>318</v>
      </c>
      <c r="I29" s="1662" t="s">
        <v>318</v>
      </c>
      <c r="J29" s="2340" t="s">
        <v>318</v>
      </c>
      <c r="K29" s="2340" t="s">
        <v>318</v>
      </c>
      <c r="L29" s="2340" t="s">
        <v>318</v>
      </c>
      <c r="M29" s="2155"/>
      <c r="AI29" s="1640">
        <v>23</v>
      </c>
    </row>
    <row customHeight="1" ht="20.25">
      <c r="D30" s="1647"/>
      <c r="E30" s="555">
        <f>FHD_NUM_P_1</f>
        <v>1</v>
      </c>
      <c r="F30" s="1886" t="str">
        <f>FHD_P_1</f>
        <v>Выручка от регулируемого вида деятельности с распределением по видам деятельности</v>
      </c>
      <c r="G30" s="1884" t="s">
        <v>565</v>
      </c>
      <c r="H30" s="566"/>
      <c r="I30" s="566">
        <v>1119200.83443</v>
      </c>
      <c r="J30" s="566">
        <v>229224.21822</v>
      </c>
      <c r="K30" s="566">
        <v>9267499.23178</v>
      </c>
      <c r="L30" s="566">
        <v>313959.22979</v>
      </c>
      <c r="M30" s="298" t="str">
        <f>FHD_NOTE_P_1</f>
        <v>Указывается выручка от регулируемого вида деятельности с распределением по видам деятельности.</v>
      </c>
      <c r="N30" s="552"/>
      <c r="AI30" s="1640">
        <v>19</v>
      </c>
    </row>
    <row customHeight="1" ht="16.5">
      <c r="D31" s="1647"/>
      <c r="E31" s="555">
        <f>FHD_NUM_P_2</f>
        <v>2</v>
      </c>
      <c r="F31" s="1886" t="str">
        <f>FHD_P_2</f>
        <v>Себестоимость производимых товаров (оказываемых услуг) по регулируемому виду деятельности, включая:</v>
      </c>
      <c r="G31" s="1884" t="s">
        <v>565</v>
      </c>
      <c r="H31" s="567">
        <f>SUMIF($N32:$N95,$N31,H32:H95)</f>
        <v>0</v>
      </c>
      <c r="I31" s="567">
        <f>SUMIF($N32:$N95,$N31,I32:I95)</f>
        <v>1661119.97188</v>
      </c>
      <c r="J31" s="567">
        <f>SUMIF($N32:$N95,$N31,J32:J95)</f>
        <v>644618.414989999</v>
      </c>
      <c r="K31" s="567">
        <f>SUMIF($N32:$N95,$N31,K32:K95)</f>
        <v>9753598.02984999</v>
      </c>
      <c r="L31" s="567">
        <f>SUMIF($N32:$N95,$N31,L32:L95)</f>
        <v>406.11</v>
      </c>
      <c r="M31" s="298" t="str">
        <f>FHD_NOTE_P_2</f>
        <v>Указывается суммарная себестоимость производимых товаров.</v>
      </c>
      <c r="N31" s="1645" t="s">
        <v>580</v>
      </c>
      <c r="AI31" s="1640">
        <v>11</v>
      </c>
    </row>
    <row customHeight="1" ht="42">
      <c r="D32" s="1647"/>
      <c r="E32" s="555" t="str">
        <f>FHD_NUM_P_3</f>
        <v>2.1</v>
      </c>
      <c r="F32" s="1533" t="str">
        <f>FHD_P_3</f>
        <v>Расходы на приобретаемую тепловую энергию (мощность), теплоноситель</v>
      </c>
      <c r="G32" s="1884" t="s">
        <v>565</v>
      </c>
      <c r="H32" s="566"/>
      <c r="I32" s="566">
        <v>0</v>
      </c>
      <c r="J32" s="566">
        <v>0</v>
      </c>
      <c r="K32" s="566">
        <v>1974665.83111</v>
      </c>
      <c r="L32" s="566">
        <v>0</v>
      </c>
      <c r="M32" s="298" t="str">
        <f>FHD_NOTE_P_3</f>
        <v/>
      </c>
      <c r="N32" s="1645" t="str">
        <f>IF((LEN(E32)-LEN(SUBSTITUTE(E32,".","")))/LEN(".")=1,"p","")</f>
        <v>p</v>
      </c>
      <c r="AI32" s="1640">
        <v>11</v>
      </c>
    </row>
    <row customHeight="1" ht="11.25">
      <c r="A33" s="2399" t="s">
        <v>581</v>
      </c>
      <c r="D33" s="1647"/>
      <c r="E33" s="555" t="str">
        <f>FHD_NUM_P_4</f>
        <v>2.2</v>
      </c>
      <c r="F33" s="153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84" t="s">
        <v>565</v>
      </c>
      <c r="H33" s="567">
        <f>SUMIF($F34:$F64,$F3,H34:H64)</f>
        <v>0</v>
      </c>
      <c r="I33" s="567">
        <f>SUMIF($F34:$F64,$F3,I34:I64)</f>
        <v>861456.640479998</v>
      </c>
      <c r="J33" s="567">
        <f>SUMIF($F34:$F64,$F3,J34:J64)</f>
        <v>250528.787889999</v>
      </c>
      <c r="K33" s="567">
        <f>SUMIF($F34:$F64,$F3,K34:K64)</f>
        <v>2499502.96373999</v>
      </c>
      <c r="L33" s="567">
        <f>SUMIF($F34:$F64,$F3,L34:L64)</f>
        <v>0</v>
      </c>
      <c r="M33" s="298" t="str">
        <f>FHD_NOTE_P_4</f>
        <v>Указываются суммарные расходы на приобретение топлива всех видов.</v>
      </c>
      <c r="N33" s="1645" t="str">
        <f>IF((LEN(E33)-LEN(SUBSTITUTE(E33,".","")))/LEN(".")=1,"p","")</f>
        <v>p</v>
      </c>
      <c r="AI33" s="1640">
        <v>0</v>
      </c>
    </row>
    <row s="1650" customFormat="1" customHeight="1" ht="0.75">
      <c r="A34" s="2399"/>
      <c r="B34" s="2400" t="str">
        <f>E33&amp;".0"</f>
        <v>2.2.0</v>
      </c>
      <c r="C34" s="1176"/>
      <c r="D34" s="569"/>
      <c r="E34" s="570"/>
      <c r="F34" s="571"/>
      <c r="G34" s="572"/>
      <c r="H34" s="506"/>
      <c r="I34" s="506"/>
      <c r="J34" s="506"/>
      <c r="K34" s="506"/>
      <c r="L34" s="506"/>
      <c r="M34" s="573"/>
      <c r="N34" s="1645" t="str">
        <f>IF((LEN(E34)-LEN(SUBSTITUTE(E34,".","")))/LEN(".")=1,"p","")</f>
        <v/>
      </c>
      <c r="O34" s="1645"/>
      <c r="P34" s="1645"/>
      <c r="Q34" s="1645"/>
      <c r="R34" s="1645"/>
      <c r="S34" s="1645"/>
      <c r="T34" s="1645"/>
      <c r="U34" s="1645"/>
      <c r="V34" s="1645"/>
      <c r="W34" s="1645"/>
      <c r="X34" s="574"/>
      <c r="Y34" s="1645"/>
      <c r="Z34" s="1645"/>
      <c r="AA34" s="1645"/>
      <c r="AB34" s="1645"/>
      <c r="AC34" s="1645"/>
      <c r="AD34" s="575"/>
      <c r="AE34" s="575"/>
      <c r="AF34" s="575"/>
      <c r="AG34" s="575"/>
      <c r="AH34" s="575"/>
      <c r="AI34" s="1650">
        <v>0</v>
      </c>
    </row>
    <row s="1650" customFormat="1" customHeight="1" ht="0.75">
      <c r="A35" s="2399"/>
      <c r="B35" s="2400"/>
      <c r="C35" s="1176"/>
      <c r="D35" s="569"/>
      <c r="E35" s="576"/>
      <c r="F35" s="577"/>
      <c r="G35" s="572"/>
      <c r="H35" s="578"/>
      <c r="I35" s="578"/>
      <c r="J35" s="578"/>
      <c r="K35" s="578"/>
      <c r="L35" s="578"/>
      <c r="M35" s="573"/>
      <c r="N35" s="1645" t="str">
        <f>IF((LEN(E35)-LEN(SUBSTITUTE(E35,".","")))/LEN(".")=1,"p","")</f>
        <v/>
      </c>
      <c r="O35" s="1645"/>
      <c r="P35" s="1645"/>
      <c r="Q35" s="1645"/>
      <c r="R35" s="1645"/>
      <c r="S35" s="1645"/>
      <c r="T35" s="1645"/>
      <c r="U35" s="1645"/>
      <c r="V35" s="1645"/>
      <c r="W35" s="1645"/>
      <c r="X35" s="574"/>
      <c r="Y35" s="1645"/>
      <c r="Z35" s="1645"/>
      <c r="AA35" s="1645"/>
      <c r="AB35" s="1645"/>
      <c r="AC35" s="1645"/>
      <c r="AD35" s="575"/>
      <c r="AE35" s="575"/>
      <c r="AF35" s="575"/>
      <c r="AG35" s="575"/>
      <c r="AH35" s="575"/>
      <c r="AI35" s="1650">
        <v>0</v>
      </c>
    </row>
    <row s="1650" customFormat="1" customHeight="1" ht="0.75">
      <c r="A36" s="2399"/>
      <c r="B36" s="2400"/>
      <c r="C36" s="1176"/>
      <c r="D36" s="569"/>
      <c r="E36" s="576"/>
      <c r="F36" s="577"/>
      <c r="G36" s="572"/>
      <c r="H36" s="578"/>
      <c r="I36" s="578"/>
      <c r="J36" s="578"/>
      <c r="K36" s="578"/>
      <c r="L36" s="578"/>
      <c r="M36" s="573"/>
      <c r="N36" s="1645" t="str">
        <f>IF((LEN(E36)-LEN(SUBSTITUTE(E36,".","")))/LEN(".")=1,"p","")</f>
        <v/>
      </c>
      <c r="O36" s="1645"/>
      <c r="P36" s="1645"/>
      <c r="Q36" s="1645"/>
      <c r="R36" s="1645"/>
      <c r="S36" s="1645"/>
      <c r="T36" s="1645"/>
      <c r="U36" s="1645"/>
      <c r="V36" s="1645"/>
      <c r="W36" s="1645"/>
      <c r="X36" s="574"/>
      <c r="Y36" s="1645"/>
      <c r="Z36" s="1645"/>
      <c r="AA36" s="1645"/>
      <c r="AB36" s="1645"/>
      <c r="AC36" s="1645"/>
      <c r="AD36" s="575"/>
      <c r="AE36" s="575"/>
      <c r="AF36" s="575"/>
      <c r="AG36" s="575"/>
      <c r="AH36" s="575"/>
      <c r="AI36" s="1650">
        <v>0</v>
      </c>
    </row>
    <row s="1650" customFormat="1" customHeight="1" ht="0.75">
      <c r="A37" s="2399"/>
      <c r="B37" s="2400"/>
      <c r="C37" s="1176"/>
      <c r="D37" s="569"/>
      <c r="E37" s="576"/>
      <c r="F37" s="577"/>
      <c r="G37" s="572"/>
      <c r="H37" s="578"/>
      <c r="I37" s="578"/>
      <c r="J37" s="578"/>
      <c r="K37" s="578"/>
      <c r="L37" s="578"/>
      <c r="M37" s="573"/>
      <c r="N37" s="1645" t="str">
        <f>IF((LEN(E37)-LEN(SUBSTITUTE(E37,".","")))/LEN(".")=1,"p","")</f>
        <v/>
      </c>
      <c r="O37" s="1645"/>
      <c r="P37" s="1645"/>
      <c r="Q37" s="1645"/>
      <c r="R37" s="1645"/>
      <c r="S37" s="1645"/>
      <c r="T37" s="1645"/>
      <c r="U37" s="1645"/>
      <c r="V37" s="1645"/>
      <c r="W37" s="1645"/>
      <c r="X37" s="574"/>
      <c r="Y37" s="1645"/>
      <c r="Z37" s="1645"/>
      <c r="AA37" s="1645"/>
      <c r="AB37" s="1645"/>
      <c r="AC37" s="1645"/>
      <c r="AD37" s="575"/>
      <c r="AE37" s="575"/>
      <c r="AF37" s="575"/>
      <c r="AG37" s="575"/>
      <c r="AH37" s="575"/>
      <c r="AI37" s="1650">
        <v>0</v>
      </c>
    </row>
    <row s="1650" customFormat="1" customHeight="1" ht="0.75">
      <c r="A38" s="2399"/>
      <c r="B38" s="2400"/>
      <c r="C38" s="1176"/>
      <c r="D38" s="569"/>
      <c r="E38" s="576"/>
      <c r="F38" s="577"/>
      <c r="G38" s="572"/>
      <c r="H38" s="578"/>
      <c r="I38" s="578"/>
      <c r="J38" s="578"/>
      <c r="K38" s="578"/>
      <c r="L38" s="578"/>
      <c r="M38" s="573"/>
      <c r="N38" s="1645" t="str">
        <f>IF((LEN(E38)-LEN(SUBSTITUTE(E38,".","")))/LEN(".")=1,"p","")</f>
        <v/>
      </c>
      <c r="O38" s="1645"/>
      <c r="P38" s="1645"/>
      <c r="Q38" s="1645"/>
      <c r="R38" s="1645"/>
      <c r="S38" s="1645"/>
      <c r="T38" s="1645"/>
      <c r="U38" s="1645"/>
      <c r="V38" s="1645"/>
      <c r="W38" s="1645"/>
      <c r="X38" s="574"/>
      <c r="Y38" s="1645"/>
      <c r="Z38" s="1645"/>
      <c r="AA38" s="1645"/>
      <c r="AB38" s="1645"/>
      <c r="AC38" s="1645"/>
      <c r="AD38" s="575"/>
      <c r="AE38" s="575"/>
      <c r="AF38" s="575"/>
      <c r="AG38" s="575"/>
      <c r="AH38" s="575"/>
      <c r="AI38" s="1650">
        <v>0</v>
      </c>
    </row>
    <row s="1650" customFormat="1" customHeight="1" ht="0.75">
      <c r="A39" s="2399"/>
      <c r="B39" s="2400"/>
      <c r="C39" s="1176"/>
      <c r="D39" s="569"/>
      <c r="E39" s="576"/>
      <c r="F39" s="577"/>
      <c r="G39" s="572"/>
      <c r="H39" s="506"/>
      <c r="I39" s="506"/>
      <c r="J39" s="506"/>
      <c r="K39" s="506"/>
      <c r="L39" s="506"/>
      <c r="M39" s="573"/>
      <c r="N39" s="1645" t="str">
        <f>IF((LEN(E39)-LEN(SUBSTITUTE(E39,".","")))/LEN(".")=1,"p","")</f>
        <v/>
      </c>
      <c r="O39" s="1645"/>
      <c r="P39" s="1645"/>
      <c r="Q39" s="1645"/>
      <c r="R39" s="1645"/>
      <c r="S39" s="1645"/>
      <c r="T39" s="1645"/>
      <c r="U39" s="1645"/>
      <c r="V39" s="1645"/>
      <c r="W39" s="1645"/>
      <c r="X39" s="574"/>
      <c r="Y39" s="1645"/>
      <c r="Z39" s="1645"/>
      <c r="AA39" s="1645"/>
      <c r="AB39" s="1645"/>
      <c r="AC39" s="1645"/>
      <c r="AD39" s="575"/>
      <c r="AE39" s="575"/>
      <c r="AF39" s="575"/>
      <c r="AG39" s="575"/>
      <c r="AH39" s="575"/>
      <c r="AI39" s="1650">
        <v>0</v>
      </c>
    </row>
    <row s="1856" customFormat="1" customHeight="1" ht="23.25">
      <c r="A40" s="996"/>
      <c r="B40" s="2153" t="str">
        <f>E33&amp;".1"</f>
        <v>2.2.1</v>
      </c>
      <c r="C40" s="1333" t="s">
        <v>558</v>
      </c>
      <c r="D40" s="692" t="s">
        <v>104</v>
      </c>
      <c r="E40" s="555" t="str">
        <f>B40</f>
        <v>2.2.1</v>
      </c>
      <c r="F40" s="556" t="s">
        <v>582</v>
      </c>
      <c r="G40" s="2394" t="s">
        <v>559</v>
      </c>
      <c r="H40" s="2394" t="s">
        <v>559</v>
      </c>
      <c r="I40" s="2394" t="s">
        <v>559</v>
      </c>
      <c r="J40" s="2394" t="s">
        <v>559</v>
      </c>
      <c r="K40" s="2394" t="s">
        <v>559</v>
      </c>
      <c r="L40" s="2394" t="s">
        <v>559</v>
      </c>
      <c r="M40" s="1534" t="s">
        <v>560</v>
      </c>
      <c r="N40" s="743"/>
      <c r="O40" s="1651"/>
      <c r="P40" s="1651"/>
      <c r="Q40" s="1375"/>
      <c r="R40" s="1375"/>
      <c r="S40" s="1375"/>
      <c r="T40" s="1375"/>
      <c r="U40" s="1651"/>
      <c r="V40" s="1375"/>
      <c r="W40" s="1375"/>
      <c r="X40" s="745"/>
      <c r="Y40" s="1375"/>
      <c r="Z40" s="1375"/>
      <c r="AA40" s="1375"/>
      <c r="AB40" s="1375"/>
      <c r="AC40" s="1375"/>
      <c r="AD40" s="1641"/>
      <c r="AE40" s="1641"/>
      <c r="AF40" s="1641"/>
      <c r="AG40" s="1641"/>
      <c r="AH40" s="1641"/>
      <c r="AI40" s="1644">
        <v>0</v>
      </c>
    </row>
    <row s="631" customFormat="1" customHeight="1" ht="0.75" hidden="1">
      <c r="A41" s="1651"/>
      <c r="B41" s="2153" t="str">
        <f>E33&amp;".0"</f>
        <v>2.2.0</v>
      </c>
      <c r="C41" s="1333"/>
      <c r="D41" s="1333"/>
      <c r="E41" s="558"/>
      <c r="F41" s="559" t="s">
        <v>561</v>
      </c>
      <c r="G41" s="1382"/>
      <c r="H41" s="1382">
        <f>H42*H43+H44</f>
        <v>0</v>
      </c>
      <c r="I41" s="1382">
        <f>I42*I43+I44</f>
        <v>0</v>
      </c>
      <c r="J41" s="1382">
        <f>J42*J43+J44</f>
        <v>0</v>
      </c>
      <c r="K41" s="1382">
        <f>K42*K43+K44</f>
        <v>2474632.33990999</v>
      </c>
      <c r="L41" s="1382">
        <f>L42*L43+L44</f>
        <v>0</v>
      </c>
      <c r="M41" s="1385"/>
      <c r="N41" s="1651"/>
      <c r="O41" s="1651"/>
      <c r="P41" s="1651"/>
      <c r="Q41" s="1651"/>
      <c r="R41" s="1651"/>
      <c r="S41" s="1651"/>
      <c r="T41" s="1651"/>
      <c r="U41" s="1651"/>
      <c r="V41" s="1651"/>
      <c r="W41" s="1651"/>
      <c r="X41" s="1651"/>
      <c r="Y41" s="1651"/>
      <c r="Z41" s="1651"/>
      <c r="AA41" s="1651"/>
      <c r="AB41" s="1651"/>
      <c r="AC41" s="1651"/>
      <c r="AD41" s="1651"/>
      <c r="AE41" s="1651"/>
      <c r="AF41" s="1651"/>
      <c r="AG41" s="1651"/>
      <c r="AH41" s="1651"/>
      <c r="AI41" s="1651">
        <v>0</v>
      </c>
    </row>
    <row s="1856" customFormat="1" customHeight="1" ht="23.25">
      <c r="A42" s="996"/>
      <c r="B42" s="2153" t="str">
        <f>E33&amp;".0"</f>
        <v>2.2.0</v>
      </c>
      <c r="C42" s="1333"/>
      <c r="D42" s="2166"/>
      <c r="E42" s="555" t="str">
        <f>B40&amp;".1"</f>
        <v>2.2.1.1</v>
      </c>
      <c r="F42" s="562" t="s">
        <v>562</v>
      </c>
      <c r="G42" s="563" t="s">
        <v>583</v>
      </c>
      <c r="H42" s="760"/>
      <c r="I42" s="760"/>
      <c r="J42" s="760"/>
      <c r="K42" s="760">
        <v>297.007099623691</v>
      </c>
      <c r="L42" s="760"/>
      <c r="M42" s="1534" t="s">
        <v>563</v>
      </c>
      <c r="N42" s="743"/>
      <c r="O42" s="1651"/>
      <c r="P42" s="1651"/>
      <c r="Q42" s="1375"/>
      <c r="R42" s="1375"/>
      <c r="S42" s="1375"/>
      <c r="T42" s="1375"/>
      <c r="U42" s="1651"/>
      <c r="V42" s="1375"/>
      <c r="W42" s="1375"/>
      <c r="X42" s="745"/>
      <c r="Y42" s="1375"/>
      <c r="Z42" s="1375"/>
      <c r="AA42" s="1375"/>
      <c r="AB42" s="1375"/>
      <c r="AC42" s="1375"/>
      <c r="AD42" s="1641"/>
      <c r="AE42" s="1641"/>
      <c r="AF42" s="1641"/>
      <c r="AG42" s="1641"/>
      <c r="AH42" s="1641"/>
      <c r="AI42" s="1644">
        <v>0</v>
      </c>
    </row>
    <row s="1856" customFormat="1" customHeight="1" ht="18.75">
      <c r="A43" s="996"/>
      <c r="B43" s="2153" t="str">
        <f>E33&amp;".0"</f>
        <v>2.2.0</v>
      </c>
      <c r="C43" s="1333"/>
      <c r="D43" s="2166"/>
      <c r="E43" s="555" t="str">
        <f>B40&amp;".2"</f>
        <v>2.2.1.2</v>
      </c>
      <c r="F43" s="562" t="s">
        <v>564</v>
      </c>
      <c r="G43" s="2394" t="s">
        <v>565</v>
      </c>
      <c r="H43" s="760"/>
      <c r="I43" s="760"/>
      <c r="J43" s="760"/>
      <c r="K43" s="760">
        <v>7179.26602729947</v>
      </c>
      <c r="L43" s="760"/>
      <c r="M43" s="1534"/>
      <c r="N43" s="743"/>
      <c r="O43" s="1651"/>
      <c r="P43" s="1651"/>
      <c r="Q43" s="1375"/>
      <c r="R43" s="1375"/>
      <c r="S43" s="1375"/>
      <c r="T43" s="1375"/>
      <c r="U43" s="1651"/>
      <c r="V43" s="1375"/>
      <c r="W43" s="1375"/>
      <c r="X43" s="745"/>
      <c r="Y43" s="1375"/>
      <c r="Z43" s="1375"/>
      <c r="AA43" s="1375"/>
      <c r="AB43" s="1375"/>
      <c r="AC43" s="1375"/>
      <c r="AD43" s="1641"/>
      <c r="AE43" s="1641"/>
      <c r="AF43" s="1641"/>
      <c r="AG43" s="1641"/>
      <c r="AH43" s="1641"/>
      <c r="AI43" s="1644">
        <v>0</v>
      </c>
    </row>
    <row s="1856" customFormat="1" customHeight="1" ht="18.75">
      <c r="A44" s="996"/>
      <c r="B44" s="2153" t="str">
        <f>E33&amp;".0"</f>
        <v>2.2.0</v>
      </c>
      <c r="C44" s="1333"/>
      <c r="D44" s="2166"/>
      <c r="E44" s="555" t="str">
        <f>B40&amp;".3"</f>
        <v>2.2.1.3</v>
      </c>
      <c r="F44" s="562" t="s">
        <v>566</v>
      </c>
      <c r="G44" s="2394" t="s">
        <v>565</v>
      </c>
      <c r="H44" s="760"/>
      <c r="I44" s="760"/>
      <c r="J44" s="760"/>
      <c r="K44" s="760">
        <v>342339.359714885</v>
      </c>
      <c r="L44" s="760"/>
      <c r="M44" s="1534"/>
      <c r="N44" s="743"/>
      <c r="O44" s="1651"/>
      <c r="P44" s="1651"/>
      <c r="Q44" s="1375"/>
      <c r="R44" s="1375"/>
      <c r="S44" s="1375"/>
      <c r="T44" s="1375"/>
      <c r="U44" s="1651"/>
      <c r="V44" s="1375"/>
      <c r="W44" s="1375"/>
      <c r="X44" s="745"/>
      <c r="Y44" s="1375"/>
      <c r="Z44" s="1375"/>
      <c r="AA44" s="1375"/>
      <c r="AB44" s="1375"/>
      <c r="AC44" s="1375"/>
      <c r="AD44" s="1641"/>
      <c r="AE44" s="1641"/>
      <c r="AF44" s="1641"/>
      <c r="AG44" s="1641"/>
      <c r="AH44" s="1641"/>
      <c r="AI44" s="1644">
        <v>0</v>
      </c>
    </row>
    <row s="1856" customFormat="1" customHeight="1" ht="18.75">
      <c r="A45" s="996"/>
      <c r="B45" s="2153" t="str">
        <f>E33&amp;".0"</f>
        <v>2.2.0</v>
      </c>
      <c r="C45" s="1333"/>
      <c r="D45" s="2166"/>
      <c r="E45" s="555" t="str">
        <f>B40&amp;".4"</f>
        <v>2.2.1.4</v>
      </c>
      <c r="F45" s="562" t="s">
        <v>567</v>
      </c>
      <c r="G45" s="2394" t="s">
        <v>559</v>
      </c>
      <c r="H45" s="564"/>
      <c r="I45" s="564"/>
      <c r="J45" s="564"/>
      <c r="K45" s="564"/>
      <c r="L45" s="564"/>
      <c r="M45" s="1534"/>
      <c r="N45" s="743"/>
      <c r="O45" s="1651"/>
      <c r="P45" s="1651"/>
      <c r="Q45" s="1375"/>
      <c r="R45" s="1375"/>
      <c r="S45" s="1375"/>
      <c r="T45" s="1375"/>
      <c r="U45" s="1651"/>
      <c r="V45" s="1375"/>
      <c r="W45" s="1375"/>
      <c r="X45" s="745"/>
      <c r="Y45" s="1375"/>
      <c r="Z45" s="1375"/>
      <c r="AA45" s="1375"/>
      <c r="AB45" s="1375"/>
      <c r="AC45" s="1375"/>
      <c r="AD45" s="1641"/>
      <c r="AE45" s="1641"/>
      <c r="AF45" s="1641"/>
      <c r="AG45" s="1641"/>
      <c r="AH45" s="1641"/>
      <c r="AI45" s="1644">
        <v>0</v>
      </c>
    </row>
    <row s="1856" customFormat="1" customHeight="1" ht="23.25">
      <c r="A46" s="996"/>
      <c r="B46" s="2153" t="str">
        <f>E33&amp;".2"</f>
        <v>2.2.2</v>
      </c>
      <c r="C46" s="1333" t="s">
        <v>558</v>
      </c>
      <c r="D46" s="692" t="s">
        <v>104</v>
      </c>
      <c r="E46" s="555" t="str">
        <f>B46</f>
        <v>2.2.2</v>
      </c>
      <c r="F46" s="556" t="s">
        <v>584</v>
      </c>
      <c r="G46" s="2394" t="s">
        <v>559</v>
      </c>
      <c r="H46" s="2394" t="s">
        <v>559</v>
      </c>
      <c r="I46" s="2394" t="s">
        <v>559</v>
      </c>
      <c r="J46" s="2394" t="s">
        <v>559</v>
      </c>
      <c r="K46" s="2394" t="s">
        <v>559</v>
      </c>
      <c r="L46" s="2394" t="s">
        <v>559</v>
      </c>
      <c r="M46" s="1534" t="s">
        <v>560</v>
      </c>
      <c r="N46" s="743"/>
      <c r="O46" s="1651"/>
      <c r="P46" s="1651"/>
      <c r="Q46" s="1375"/>
      <c r="R46" s="1375"/>
      <c r="S46" s="1375"/>
      <c r="T46" s="1375"/>
      <c r="U46" s="1651"/>
      <c r="V46" s="1375"/>
      <c r="W46" s="1375"/>
      <c r="X46" s="745"/>
      <c r="Y46" s="1375"/>
      <c r="Z46" s="1375"/>
      <c r="AA46" s="1375"/>
      <c r="AB46" s="1375"/>
      <c r="AC46" s="1375"/>
      <c r="AD46" s="1641"/>
      <c r="AE46" s="1641"/>
      <c r="AF46" s="1641"/>
      <c r="AG46" s="1641"/>
      <c r="AH46" s="1641"/>
      <c r="AI46" s="1644">
        <v>0</v>
      </c>
    </row>
    <row s="631" customFormat="1" customHeight="1" ht="0.75" hidden="1">
      <c r="A47" s="1651"/>
      <c r="B47" s="2153" t="str">
        <f>E33&amp;".1"</f>
        <v>2.2.1</v>
      </c>
      <c r="C47" s="1333"/>
      <c r="D47" s="1333"/>
      <c r="E47" s="558"/>
      <c r="F47" s="559" t="s">
        <v>561</v>
      </c>
      <c r="G47" s="1382"/>
      <c r="H47" s="1382">
        <f>H48*H49+H50</f>
        <v>0</v>
      </c>
      <c r="I47" s="1382">
        <f>I48*I49+I50</f>
        <v>860503.287979998</v>
      </c>
      <c r="J47" s="1382">
        <f>J48*J49+J50</f>
        <v>247530.504829999</v>
      </c>
      <c r="K47" s="1382">
        <f>K48*K49+K50</f>
        <v>0</v>
      </c>
      <c r="L47" s="1382">
        <f>L48*L49+L50</f>
        <v>0</v>
      </c>
      <c r="M47" s="1385"/>
      <c r="N47" s="1651"/>
      <c r="O47" s="1651"/>
      <c r="P47" s="1651"/>
      <c r="Q47" s="1651"/>
      <c r="R47" s="1651"/>
      <c r="S47" s="1651"/>
      <c r="T47" s="1651"/>
      <c r="U47" s="1651"/>
      <c r="V47" s="1651"/>
      <c r="W47" s="1651"/>
      <c r="X47" s="1651"/>
      <c r="Y47" s="1651"/>
      <c r="Z47" s="1651"/>
      <c r="AA47" s="1651"/>
      <c r="AB47" s="1651"/>
      <c r="AC47" s="1651"/>
      <c r="AD47" s="1651"/>
      <c r="AE47" s="1651"/>
      <c r="AF47" s="1651"/>
      <c r="AG47" s="1651"/>
      <c r="AH47" s="1651"/>
      <c r="AI47" s="1651">
        <v>0</v>
      </c>
    </row>
    <row s="1856" customFormat="1" customHeight="1" ht="23.25">
      <c r="A48" s="996"/>
      <c r="B48" s="2153" t="str">
        <f>E33&amp;".1"</f>
        <v>2.2.1</v>
      </c>
      <c r="C48" s="1333"/>
      <c r="D48" s="2166"/>
      <c r="E48" s="555" t="str">
        <f>B46&amp;".1"</f>
        <v>2.2.2.1</v>
      </c>
      <c r="F48" s="562" t="s">
        <v>562</v>
      </c>
      <c r="G48" s="563" t="s">
        <v>585</v>
      </c>
      <c r="H48" s="760"/>
      <c r="I48" s="760">
        <v>147.814910335045</v>
      </c>
      <c r="J48" s="760">
        <v>42.0945550362733</v>
      </c>
      <c r="K48" s="760"/>
      <c r="L48" s="760"/>
      <c r="M48" s="1534" t="s">
        <v>563</v>
      </c>
      <c r="N48" s="743"/>
      <c r="O48" s="1651"/>
      <c r="P48" s="1651"/>
      <c r="Q48" s="1375"/>
      <c r="R48" s="1375"/>
      <c r="S48" s="1375"/>
      <c r="T48" s="1375"/>
      <c r="U48" s="1651"/>
      <c r="V48" s="1375"/>
      <c r="W48" s="1375"/>
      <c r="X48" s="745"/>
      <c r="Y48" s="1375"/>
      <c r="Z48" s="1375"/>
      <c r="AA48" s="1375"/>
      <c r="AB48" s="1375"/>
      <c r="AC48" s="1375"/>
      <c r="AD48" s="1641"/>
      <c r="AE48" s="1641"/>
      <c r="AF48" s="1641"/>
      <c r="AG48" s="1641"/>
      <c r="AH48" s="1641"/>
      <c r="AI48" s="1644">
        <v>0</v>
      </c>
    </row>
    <row s="1856" customFormat="1" customHeight="1" ht="18.75">
      <c r="A49" s="996"/>
      <c r="B49" s="2153" t="str">
        <f>E33&amp;".1"</f>
        <v>2.2.1</v>
      </c>
      <c r="C49" s="1333"/>
      <c r="D49" s="2166"/>
      <c r="E49" s="555" t="str">
        <f>B46&amp;".2"</f>
        <v>2.2.2.2</v>
      </c>
      <c r="F49" s="562" t="s">
        <v>564</v>
      </c>
      <c r="G49" s="2394" t="s">
        <v>565</v>
      </c>
      <c r="H49" s="760"/>
      <c r="I49" s="760">
        <v>5818.46259826259</v>
      </c>
      <c r="J49" s="760">
        <v>5864.70960362337</v>
      </c>
      <c r="K49" s="760"/>
      <c r="L49" s="760"/>
      <c r="M49" s="1534"/>
      <c r="N49" s="743"/>
      <c r="O49" s="1651"/>
      <c r="P49" s="1651"/>
      <c r="Q49" s="1375"/>
      <c r="R49" s="1375"/>
      <c r="S49" s="1375"/>
      <c r="T49" s="1375"/>
      <c r="U49" s="1651"/>
      <c r="V49" s="1375"/>
      <c r="W49" s="1375"/>
      <c r="X49" s="745"/>
      <c r="Y49" s="1375"/>
      <c r="Z49" s="1375"/>
      <c r="AA49" s="1375"/>
      <c r="AB49" s="1375"/>
      <c r="AC49" s="1375"/>
      <c r="AD49" s="1641"/>
      <c r="AE49" s="1641"/>
      <c r="AF49" s="1641"/>
      <c r="AG49" s="1641"/>
      <c r="AH49" s="1641"/>
      <c r="AI49" s="1644">
        <v>0</v>
      </c>
    </row>
    <row s="1856" customFormat="1" customHeight="1" ht="18.75">
      <c r="A50" s="996"/>
      <c r="B50" s="2153" t="str">
        <f>E33&amp;".1"</f>
        <v>2.2.1</v>
      </c>
      <c r="C50" s="1333"/>
      <c r="D50" s="2166"/>
      <c r="E50" s="555" t="str">
        <f>B46&amp;".3"</f>
        <v>2.2.2.3</v>
      </c>
      <c r="F50" s="562" t="s">
        <v>566</v>
      </c>
      <c r="G50" s="2394" t="s">
        <v>565</v>
      </c>
      <c r="H50" s="760"/>
      <c r="I50" s="760">
        <v>447.760729999955</v>
      </c>
      <c r="J50" s="760">
        <v>658.163648515194</v>
      </c>
      <c r="K50" s="760"/>
      <c r="L50" s="760"/>
      <c r="M50" s="1534"/>
      <c r="N50" s="743"/>
      <c r="O50" s="1651"/>
      <c r="P50" s="1651"/>
      <c r="Q50" s="1375"/>
      <c r="R50" s="1375"/>
      <c r="S50" s="1375"/>
      <c r="T50" s="1375"/>
      <c r="U50" s="1651"/>
      <c r="V50" s="1375"/>
      <c r="W50" s="1375"/>
      <c r="X50" s="745"/>
      <c r="Y50" s="1375"/>
      <c r="Z50" s="1375"/>
      <c r="AA50" s="1375"/>
      <c r="AB50" s="1375"/>
      <c r="AC50" s="1375"/>
      <c r="AD50" s="1641"/>
      <c r="AE50" s="1641"/>
      <c r="AF50" s="1641"/>
      <c r="AG50" s="1641"/>
      <c r="AH50" s="1641"/>
      <c r="AI50" s="1644">
        <v>0</v>
      </c>
    </row>
    <row s="1856" customFormat="1" customHeight="1" ht="18.75">
      <c r="A51" s="996"/>
      <c r="B51" s="2153" t="str">
        <f>E33&amp;".1"</f>
        <v>2.2.1</v>
      </c>
      <c r="C51" s="1333"/>
      <c r="D51" s="2166"/>
      <c r="E51" s="555" t="str">
        <f>B46&amp;".4"</f>
        <v>2.2.2.4</v>
      </c>
      <c r="F51" s="562" t="s">
        <v>567</v>
      </c>
      <c r="G51" s="2394" t="s">
        <v>559</v>
      </c>
      <c r="H51" s="564"/>
      <c r="I51" s="564"/>
      <c r="J51" s="564"/>
      <c r="K51" s="564"/>
      <c r="L51" s="564"/>
      <c r="M51" s="1534"/>
      <c r="N51" s="743"/>
      <c r="O51" s="1651"/>
      <c r="P51" s="1651"/>
      <c r="Q51" s="1375"/>
      <c r="R51" s="1375"/>
      <c r="S51" s="1375"/>
      <c r="T51" s="1375"/>
      <c r="U51" s="1651"/>
      <c r="V51" s="1375"/>
      <c r="W51" s="1375"/>
      <c r="X51" s="745"/>
      <c r="Y51" s="1375"/>
      <c r="Z51" s="1375"/>
      <c r="AA51" s="1375"/>
      <c r="AB51" s="1375"/>
      <c r="AC51" s="1375"/>
      <c r="AD51" s="1641"/>
      <c r="AE51" s="1641"/>
      <c r="AF51" s="1641"/>
      <c r="AG51" s="1641"/>
      <c r="AH51" s="1641"/>
      <c r="AI51" s="1644">
        <v>0</v>
      </c>
    </row>
    <row s="1856" customFormat="1" customHeight="1" ht="23.25">
      <c r="A52" s="996"/>
      <c r="B52" s="2153" t="str">
        <f>E33&amp;".3"</f>
        <v>2.2.3</v>
      </c>
      <c r="C52" s="1333" t="s">
        <v>558</v>
      </c>
      <c r="D52" s="692" t="s">
        <v>104</v>
      </c>
      <c r="E52" s="555" t="str">
        <f>B52</f>
        <v>2.2.3</v>
      </c>
      <c r="F52" s="556" t="s">
        <v>586</v>
      </c>
      <c r="G52" s="2394" t="s">
        <v>559</v>
      </c>
      <c r="H52" s="2394" t="s">
        <v>559</v>
      </c>
      <c r="I52" s="2394" t="s">
        <v>559</v>
      </c>
      <c r="J52" s="2394" t="s">
        <v>559</v>
      </c>
      <c r="K52" s="2394" t="s">
        <v>559</v>
      </c>
      <c r="L52" s="2394" t="s">
        <v>559</v>
      </c>
      <c r="M52" s="1534" t="s">
        <v>560</v>
      </c>
      <c r="N52" s="743"/>
      <c r="O52" s="1651"/>
      <c r="P52" s="1651"/>
      <c r="Q52" s="1375"/>
      <c r="R52" s="1375"/>
      <c r="S52" s="1375"/>
      <c r="T52" s="1375"/>
      <c r="U52" s="1651"/>
      <c r="V52" s="1375"/>
      <c r="W52" s="1375"/>
      <c r="X52" s="745"/>
      <c r="Y52" s="1375"/>
      <c r="Z52" s="1375"/>
      <c r="AA52" s="1375"/>
      <c r="AB52" s="1375"/>
      <c r="AC52" s="1375"/>
      <c r="AD52" s="1641"/>
      <c r="AE52" s="1641"/>
      <c r="AF52" s="1641"/>
      <c r="AG52" s="1641"/>
      <c r="AH52" s="1641"/>
      <c r="AI52" s="1644">
        <v>0</v>
      </c>
    </row>
    <row s="631" customFormat="1" customHeight="1" ht="0.75" hidden="1">
      <c r="A53" s="1651"/>
      <c r="B53" s="2153" t="str">
        <f>E33&amp;".2"</f>
        <v>2.2.2</v>
      </c>
      <c r="C53" s="1333"/>
      <c r="D53" s="1333"/>
      <c r="E53" s="558"/>
      <c r="F53" s="559" t="s">
        <v>561</v>
      </c>
      <c r="G53" s="1382"/>
      <c r="H53" s="1382">
        <f>H54*H55+H56</f>
        <v>0</v>
      </c>
      <c r="I53" s="1382">
        <f>I54*I55+I56</f>
        <v>953.352500000001</v>
      </c>
      <c r="J53" s="1382">
        <f>J54*J55+J56</f>
        <v>0</v>
      </c>
      <c r="K53" s="1382">
        <f>K54*K55+K56</f>
        <v>24870.62383</v>
      </c>
      <c r="L53" s="1382">
        <f>L54*L55+L56</f>
        <v>0</v>
      </c>
      <c r="M53" s="1385"/>
      <c r="N53" s="1651"/>
      <c r="O53" s="1651"/>
      <c r="P53" s="1651"/>
      <c r="Q53" s="1651"/>
      <c r="R53" s="1651"/>
      <c r="S53" s="1651"/>
      <c r="T53" s="1651"/>
      <c r="U53" s="1651"/>
      <c r="V53" s="1651"/>
      <c r="W53" s="1651"/>
      <c r="X53" s="1651"/>
      <c r="Y53" s="1651"/>
      <c r="Z53" s="1651"/>
      <c r="AA53" s="1651"/>
      <c r="AB53" s="1651"/>
      <c r="AC53" s="1651"/>
      <c r="AD53" s="1651"/>
      <c r="AE53" s="1651"/>
      <c r="AF53" s="1651"/>
      <c r="AG53" s="1651"/>
      <c r="AH53" s="1651"/>
      <c r="AI53" s="1651">
        <v>0</v>
      </c>
    </row>
    <row s="1856" customFormat="1" customHeight="1" ht="23.25">
      <c r="A54" s="996"/>
      <c r="B54" s="2153" t="str">
        <f>E33&amp;".2"</f>
        <v>2.2.2</v>
      </c>
      <c r="C54" s="1333"/>
      <c r="D54" s="2166"/>
      <c r="E54" s="555" t="str">
        <f>B52&amp;".1"</f>
        <v>2.2.3.1</v>
      </c>
      <c r="F54" s="562" t="s">
        <v>562</v>
      </c>
      <c r="G54" s="563" t="s">
        <v>585</v>
      </c>
      <c r="H54" s="760"/>
      <c r="I54" s="760">
        <v>0.0280512945222546</v>
      </c>
      <c r="J54" s="760"/>
      <c r="K54" s="760">
        <v>1.065144776699</v>
      </c>
      <c r="L54" s="760"/>
      <c r="M54" s="1534" t="s">
        <v>563</v>
      </c>
      <c r="N54" s="743"/>
      <c r="O54" s="1651"/>
      <c r="P54" s="1651"/>
      <c r="Q54" s="1375"/>
      <c r="R54" s="1375"/>
      <c r="S54" s="1375"/>
      <c r="T54" s="1375"/>
      <c r="U54" s="1651"/>
      <c r="V54" s="1375"/>
      <c r="W54" s="1375"/>
      <c r="X54" s="745"/>
      <c r="Y54" s="1375"/>
      <c r="Z54" s="1375"/>
      <c r="AA54" s="1375"/>
      <c r="AB54" s="1375"/>
      <c r="AC54" s="1375"/>
      <c r="AD54" s="1641"/>
      <c r="AE54" s="1641"/>
      <c r="AF54" s="1641"/>
      <c r="AG54" s="1641"/>
      <c r="AH54" s="1641"/>
      <c r="AI54" s="1644">
        <v>0</v>
      </c>
    </row>
    <row s="1856" customFormat="1" customHeight="1" ht="18.75">
      <c r="A55" s="996"/>
      <c r="B55" s="2153" t="str">
        <f>E33&amp;".2"</f>
        <v>2.2.2</v>
      </c>
      <c r="C55" s="1333"/>
      <c r="D55" s="2166"/>
      <c r="E55" s="555" t="str">
        <f>B52&amp;".2"</f>
        <v>2.2.3.2</v>
      </c>
      <c r="F55" s="562" t="s">
        <v>564</v>
      </c>
      <c r="G55" s="2394" t="s">
        <v>565</v>
      </c>
      <c r="H55" s="760"/>
      <c r="I55" s="760">
        <v>29452.1152791917</v>
      </c>
      <c r="J55" s="760"/>
      <c r="K55" s="760">
        <v>21079.6761924803</v>
      </c>
      <c r="L55" s="760"/>
      <c r="M55" s="1534"/>
      <c r="N55" s="743"/>
      <c r="O55" s="1651"/>
      <c r="P55" s="1651"/>
      <c r="Q55" s="1375"/>
      <c r="R55" s="1375"/>
      <c r="S55" s="1375"/>
      <c r="T55" s="1375"/>
      <c r="U55" s="1651"/>
      <c r="V55" s="1375"/>
      <c r="W55" s="1375"/>
      <c r="X55" s="745"/>
      <c r="Y55" s="1375"/>
      <c r="Z55" s="1375"/>
      <c r="AA55" s="1375"/>
      <c r="AB55" s="1375"/>
      <c r="AC55" s="1375"/>
      <c r="AD55" s="1641"/>
      <c r="AE55" s="1641"/>
      <c r="AF55" s="1641"/>
      <c r="AG55" s="1641"/>
      <c r="AH55" s="1641"/>
      <c r="AI55" s="1644">
        <v>0</v>
      </c>
    </row>
    <row s="1856" customFormat="1" customHeight="1" ht="18.75">
      <c r="A56" s="996"/>
      <c r="B56" s="2153" t="str">
        <f>E33&amp;".2"</f>
        <v>2.2.2</v>
      </c>
      <c r="C56" s="1333"/>
      <c r="D56" s="2166"/>
      <c r="E56" s="555" t="str">
        <f>B52&amp;".3"</f>
        <v>2.2.3.3</v>
      </c>
      <c r="F56" s="562" t="s">
        <v>566</v>
      </c>
      <c r="G56" s="2394" t="s">
        <v>565</v>
      </c>
      <c r="H56" s="760"/>
      <c r="I56" s="760">
        <v>127.18254</v>
      </c>
      <c r="J56" s="760"/>
      <c r="K56" s="760">
        <v>2417.7168390733</v>
      </c>
      <c r="L56" s="760"/>
      <c r="M56" s="1534"/>
      <c r="N56" s="743"/>
      <c r="O56" s="1651"/>
      <c r="P56" s="1651"/>
      <c r="Q56" s="1375"/>
      <c r="R56" s="1375"/>
      <c r="S56" s="1375"/>
      <c r="T56" s="1375"/>
      <c r="U56" s="1651"/>
      <c r="V56" s="1375"/>
      <c r="W56" s="1375"/>
      <c r="X56" s="745"/>
      <c r="Y56" s="1375"/>
      <c r="Z56" s="1375"/>
      <c r="AA56" s="1375"/>
      <c r="AB56" s="1375"/>
      <c r="AC56" s="1375"/>
      <c r="AD56" s="1641"/>
      <c r="AE56" s="1641"/>
      <c r="AF56" s="1641"/>
      <c r="AG56" s="1641"/>
      <c r="AH56" s="1641"/>
      <c r="AI56" s="1644">
        <v>0</v>
      </c>
    </row>
    <row s="1856" customFormat="1" customHeight="1" ht="18.75">
      <c r="A57" s="996"/>
      <c r="B57" s="2153" t="str">
        <f>E33&amp;".2"</f>
        <v>2.2.2</v>
      </c>
      <c r="C57" s="1333"/>
      <c r="D57" s="2166"/>
      <c r="E57" s="555" t="str">
        <f>B52&amp;".4"</f>
        <v>2.2.3.4</v>
      </c>
      <c r="F57" s="562" t="s">
        <v>567</v>
      </c>
      <c r="G57" s="2394" t="s">
        <v>559</v>
      </c>
      <c r="H57" s="564"/>
      <c r="I57" s="564"/>
      <c r="J57" s="564"/>
      <c r="K57" s="564"/>
      <c r="L57" s="564"/>
      <c r="M57" s="1534"/>
      <c r="N57" s="743"/>
      <c r="O57" s="1651"/>
      <c r="P57" s="1651"/>
      <c r="Q57" s="1375"/>
      <c r="R57" s="1375"/>
      <c r="S57" s="1375"/>
      <c r="T57" s="1375"/>
      <c r="U57" s="1651"/>
      <c r="V57" s="1375"/>
      <c r="W57" s="1375"/>
      <c r="X57" s="745"/>
      <c r="Y57" s="1375"/>
      <c r="Z57" s="1375"/>
      <c r="AA57" s="1375"/>
      <c r="AB57" s="1375"/>
      <c r="AC57" s="1375"/>
      <c r="AD57" s="1641"/>
      <c r="AE57" s="1641"/>
      <c r="AF57" s="1641"/>
      <c r="AG57" s="1641"/>
      <c r="AH57" s="1641"/>
      <c r="AI57" s="1644">
        <v>0</v>
      </c>
    </row>
    <row s="1856" customFormat="1" customHeight="1" ht="23.25">
      <c r="A58" s="996"/>
      <c r="B58" s="2153" t="str">
        <f>E33&amp;".4"</f>
        <v>2.2.4</v>
      </c>
      <c r="C58" s="1333" t="s">
        <v>558</v>
      </c>
      <c r="D58" s="692" t="s">
        <v>104</v>
      </c>
      <c r="E58" s="555" t="str">
        <f>B58</f>
        <v>2.2.4</v>
      </c>
      <c r="F58" s="556" t="s">
        <v>587</v>
      </c>
      <c r="G58" s="2394" t="s">
        <v>559</v>
      </c>
      <c r="H58" s="2394" t="s">
        <v>559</v>
      </c>
      <c r="I58" s="2394" t="s">
        <v>559</v>
      </c>
      <c r="J58" s="2394" t="s">
        <v>559</v>
      </c>
      <c r="K58" s="2394" t="s">
        <v>559</v>
      </c>
      <c r="L58" s="2394" t="s">
        <v>559</v>
      </c>
      <c r="M58" s="1534" t="s">
        <v>560</v>
      </c>
      <c r="N58" s="743"/>
      <c r="O58" s="1651"/>
      <c r="P58" s="1651"/>
      <c r="Q58" s="1375"/>
      <c r="R58" s="1375"/>
      <c r="S58" s="1375"/>
      <c r="T58" s="1375"/>
      <c r="U58" s="1651"/>
      <c r="V58" s="1375"/>
      <c r="W58" s="1375"/>
      <c r="X58" s="745"/>
      <c r="Y58" s="1375"/>
      <c r="Z58" s="1375"/>
      <c r="AA58" s="1375"/>
      <c r="AB58" s="1375"/>
      <c r="AC58" s="1375"/>
      <c r="AD58" s="1641"/>
      <c r="AE58" s="1641"/>
      <c r="AF58" s="1641"/>
      <c r="AG58" s="1641"/>
      <c r="AH58" s="1641"/>
      <c r="AI58" s="1644">
        <v>0</v>
      </c>
    </row>
    <row s="631" customFormat="1" customHeight="1" ht="0.75" hidden="1">
      <c r="A59" s="1651"/>
      <c r="B59" s="2153" t="str">
        <f>E33&amp;".3"</f>
        <v>2.2.3</v>
      </c>
      <c r="C59" s="1333"/>
      <c r="D59" s="1333"/>
      <c r="E59" s="558"/>
      <c r="F59" s="559" t="s">
        <v>561</v>
      </c>
      <c r="G59" s="1382"/>
      <c r="H59" s="1382">
        <f>H60*H61+H62</f>
        <v>0</v>
      </c>
      <c r="I59" s="1382">
        <f>I60*I61+I62</f>
        <v>0</v>
      </c>
      <c r="J59" s="1382">
        <f>J60*J61+J62</f>
        <v>2998.28306</v>
      </c>
      <c r="K59" s="1382">
        <f>K60*K61+K62</f>
        <v>0</v>
      </c>
      <c r="L59" s="1382">
        <f>L60*L61+L62</f>
        <v>0</v>
      </c>
      <c r="M59" s="1385"/>
      <c r="N59" s="1651"/>
      <c r="O59" s="1651"/>
      <c r="P59" s="1651"/>
      <c r="Q59" s="1651"/>
      <c r="R59" s="1651"/>
      <c r="S59" s="1651"/>
      <c r="T59" s="1651"/>
      <c r="U59" s="1651"/>
      <c r="V59" s="1651"/>
      <c r="W59" s="1651"/>
      <c r="X59" s="1651"/>
      <c r="Y59" s="1651"/>
      <c r="Z59" s="1651"/>
      <c r="AA59" s="1651"/>
      <c r="AB59" s="1651"/>
      <c r="AC59" s="1651"/>
      <c r="AD59" s="1651"/>
      <c r="AE59" s="1651"/>
      <c r="AF59" s="1651"/>
      <c r="AG59" s="1651"/>
      <c r="AH59" s="1651"/>
      <c r="AI59" s="1651">
        <v>0</v>
      </c>
    </row>
    <row s="1856" customFormat="1" customHeight="1" ht="23.25">
      <c r="A60" s="996"/>
      <c r="B60" s="2153" t="str">
        <f>E33&amp;".3"</f>
        <v>2.2.3</v>
      </c>
      <c r="C60" s="1333"/>
      <c r="D60" s="2166"/>
      <c r="E60" s="555" t="str">
        <f>B58&amp;".1"</f>
        <v>2.2.4.1</v>
      </c>
      <c r="F60" s="562" t="s">
        <v>562</v>
      </c>
      <c r="G60" s="563" t="s">
        <v>585</v>
      </c>
      <c r="H60" s="760"/>
      <c r="I60" s="760"/>
      <c r="J60" s="760">
        <v>0.0399660797672605</v>
      </c>
      <c r="K60" s="760"/>
      <c r="L60" s="760"/>
      <c r="M60" s="1534" t="s">
        <v>563</v>
      </c>
      <c r="N60" s="743"/>
      <c r="O60" s="1651"/>
      <c r="P60" s="1651"/>
      <c r="Q60" s="1375"/>
      <c r="R60" s="1375"/>
      <c r="S60" s="1375"/>
      <c r="T60" s="1375"/>
      <c r="U60" s="1651"/>
      <c r="V60" s="1375"/>
      <c r="W60" s="1375"/>
      <c r="X60" s="745"/>
      <c r="Y60" s="1375"/>
      <c r="Z60" s="1375"/>
      <c r="AA60" s="1375"/>
      <c r="AB60" s="1375"/>
      <c r="AC60" s="1375"/>
      <c r="AD60" s="1641"/>
      <c r="AE60" s="1641"/>
      <c r="AF60" s="1641"/>
      <c r="AG60" s="1641"/>
      <c r="AH60" s="1641"/>
      <c r="AI60" s="1644">
        <v>0</v>
      </c>
    </row>
    <row s="1856" customFormat="1" customHeight="1" ht="18.75">
      <c r="A61" s="996"/>
      <c r="B61" s="2153" t="str">
        <f>E33&amp;".3"</f>
        <v>2.2.3</v>
      </c>
      <c r="C61" s="1333"/>
      <c r="D61" s="2166"/>
      <c r="E61" s="555" t="str">
        <f>B58&amp;".2"</f>
        <v>2.2.4.2</v>
      </c>
      <c r="F61" s="562" t="s">
        <v>564</v>
      </c>
      <c r="G61" s="2394" t="s">
        <v>565</v>
      </c>
      <c r="H61" s="760"/>
      <c r="I61" s="760"/>
      <c r="J61" s="760">
        <v>60386.8396413759</v>
      </c>
      <c r="K61" s="760"/>
      <c r="L61" s="760"/>
      <c r="M61" s="1534"/>
      <c r="N61" s="743"/>
      <c r="O61" s="1651"/>
      <c r="P61" s="1651"/>
      <c r="Q61" s="1375"/>
      <c r="R61" s="1375"/>
      <c r="S61" s="1375"/>
      <c r="T61" s="1375"/>
      <c r="U61" s="1651"/>
      <c r="V61" s="1375"/>
      <c r="W61" s="1375"/>
      <c r="X61" s="745"/>
      <c r="Y61" s="1375"/>
      <c r="Z61" s="1375"/>
      <c r="AA61" s="1375"/>
      <c r="AB61" s="1375"/>
      <c r="AC61" s="1375"/>
      <c r="AD61" s="1641"/>
      <c r="AE61" s="1641"/>
      <c r="AF61" s="1641"/>
      <c r="AG61" s="1641"/>
      <c r="AH61" s="1641"/>
      <c r="AI61" s="1644">
        <v>0</v>
      </c>
    </row>
    <row s="1856" customFormat="1" customHeight="1" ht="18.75">
      <c r="A62" s="996"/>
      <c r="B62" s="2153" t="str">
        <f>E33&amp;".3"</f>
        <v>2.2.3</v>
      </c>
      <c r="C62" s="1333"/>
      <c r="D62" s="2166"/>
      <c r="E62" s="555" t="str">
        <f>B58&amp;".3"</f>
        <v>2.2.4.3</v>
      </c>
      <c r="F62" s="562" t="s">
        <v>566</v>
      </c>
      <c r="G62" s="2394" t="s">
        <v>565</v>
      </c>
      <c r="H62" s="760"/>
      <c r="I62" s="760"/>
      <c r="J62" s="760">
        <v>584.85781</v>
      </c>
      <c r="K62" s="760"/>
      <c r="L62" s="760"/>
      <c r="M62" s="1534"/>
      <c r="N62" s="743"/>
      <c r="O62" s="1651"/>
      <c r="P62" s="1651"/>
      <c r="Q62" s="1375"/>
      <c r="R62" s="1375"/>
      <c r="S62" s="1375"/>
      <c r="T62" s="1375"/>
      <c r="U62" s="1651"/>
      <c r="V62" s="1375"/>
      <c r="W62" s="1375"/>
      <c r="X62" s="745"/>
      <c r="Y62" s="1375"/>
      <c r="Z62" s="1375"/>
      <c r="AA62" s="1375"/>
      <c r="AB62" s="1375"/>
      <c r="AC62" s="1375"/>
      <c r="AD62" s="1641"/>
      <c r="AE62" s="1641"/>
      <c r="AF62" s="1641"/>
      <c r="AG62" s="1641"/>
      <c r="AH62" s="1641"/>
      <c r="AI62" s="1644">
        <v>0</v>
      </c>
    </row>
    <row s="1856" customFormat="1" customHeight="1" ht="18.75">
      <c r="A63" s="996"/>
      <c r="B63" s="2153" t="str">
        <f>E33&amp;".3"</f>
        <v>2.2.3</v>
      </c>
      <c r="C63" s="1333"/>
      <c r="D63" s="2166"/>
      <c r="E63" s="555" t="str">
        <f>B58&amp;".4"</f>
        <v>2.2.4.4</v>
      </c>
      <c r="F63" s="562" t="s">
        <v>567</v>
      </c>
      <c r="G63" s="2394" t="s">
        <v>559</v>
      </c>
      <c r="H63" s="564"/>
      <c r="I63" s="564"/>
      <c r="J63" s="564"/>
      <c r="K63" s="564"/>
      <c r="L63" s="564"/>
      <c r="M63" s="1534"/>
      <c r="N63" s="743"/>
      <c r="O63" s="1651"/>
      <c r="P63" s="1651"/>
      <c r="Q63" s="1375"/>
      <c r="R63" s="1375"/>
      <c r="S63" s="1375"/>
      <c r="T63" s="1375"/>
      <c r="U63" s="1651"/>
      <c r="V63" s="1375"/>
      <c r="W63" s="1375"/>
      <c r="X63" s="745"/>
      <c r="Y63" s="1375"/>
      <c r="Z63" s="1375"/>
      <c r="AA63" s="1375"/>
      <c r="AB63" s="1375"/>
      <c r="AC63" s="1375"/>
      <c r="AD63" s="1641"/>
      <c r="AE63" s="1641"/>
      <c r="AF63" s="1641"/>
      <c r="AG63" s="1641"/>
      <c r="AH63" s="1641"/>
      <c r="AI63" s="1644">
        <v>0</v>
      </c>
    </row>
    <row s="1375" customFormat="1" customHeight="1" ht="15">
      <c r="A64" s="2399"/>
      <c r="C64" s="1645"/>
      <c r="D64" s="1642"/>
      <c r="E64" s="579"/>
      <c r="F64" s="580" t="s">
        <v>588</v>
      </c>
      <c r="G64" s="581"/>
      <c r="H64" s="582"/>
      <c r="I64" s="582"/>
      <c r="J64" s="2667"/>
      <c r="K64" s="2668"/>
      <c r="L64" s="2669"/>
      <c r="M64" s="310"/>
      <c r="N64" s="1645" t="str">
        <f>IF((LEN(E64)-LEN(SUBSTITUTE(E64,".","")))/LEN(".")=1,"p","")</f>
        <v/>
      </c>
      <c r="O64" s="1645"/>
      <c r="P64" s="1645"/>
      <c r="U64" s="1645"/>
      <c r="X64" s="553"/>
      <c r="AD64" s="1641"/>
      <c r="AE64" s="1641"/>
      <c r="AF64" s="1641"/>
      <c r="AG64" s="1641"/>
      <c r="AH64" s="1641"/>
      <c r="AI64" s="1169">
        <v>0</v>
      </c>
    </row>
    <row customHeight="1" ht="11.25" hidden="1">
      <c r="A65" s="2399" t="s">
        <v>589</v>
      </c>
      <c r="D65" s="1647"/>
      <c r="E65" s="555" t="str">
        <f>FHD_NUM_P_5</f>
        <v/>
      </c>
      <c r="F65" s="1533" t="str">
        <f>FHD_P_5</f>
        <v/>
      </c>
      <c r="G65" s="1884" t="s">
        <v>565</v>
      </c>
      <c r="H65" s="566"/>
      <c r="I65" s="566"/>
      <c r="J65" s="566"/>
      <c r="K65" s="566"/>
      <c r="L65" s="566"/>
      <c r="M65" s="298" t="str">
        <f>FHD_NOTE_P_5</f>
        <v/>
      </c>
      <c r="N65" s="1645" t="str">
        <f>IF((LEN(E65)-LEN(SUBSTITUTE(E65,".","")))/LEN(".")=1,"p","")</f>
        <v/>
      </c>
      <c r="AI65" s="1640">
        <v>0</v>
      </c>
    </row>
    <row customHeight="1" ht="11.25" hidden="1">
      <c r="A66" s="2399"/>
      <c r="D66" s="1647"/>
      <c r="E66" s="555" t="str">
        <f>FHD_NUM_P_6</f>
        <v/>
      </c>
      <c r="F66" s="1533" t="str">
        <f>FHD_P_6</f>
        <v/>
      </c>
      <c r="G66" s="1884" t="s">
        <v>565</v>
      </c>
      <c r="H66" s="566"/>
      <c r="I66" s="566"/>
      <c r="J66" s="566"/>
      <c r="K66" s="566"/>
      <c r="L66" s="566"/>
      <c r="M66" s="298" t="str">
        <f>FHD_NOTE_P_6</f>
        <v/>
      </c>
      <c r="N66" s="1645" t="str">
        <f>IF((LEN(E66)-LEN(SUBSTITUTE(E66,".","")))/LEN(".")=1,"p","")</f>
        <v/>
      </c>
      <c r="AI66" s="1640">
        <v>0</v>
      </c>
    </row>
    <row customHeight="1" ht="11.25" hidden="1">
      <c r="A67" s="2399"/>
      <c r="D67" s="1647"/>
      <c r="E67" s="555" t="str">
        <f>FHD_NUM_P_7</f>
        <v/>
      </c>
      <c r="F67" s="1533" t="str">
        <f>FHD_P_7</f>
        <v/>
      </c>
      <c r="G67" s="1884" t="s">
        <v>565</v>
      </c>
      <c r="H67" s="566"/>
      <c r="I67" s="566"/>
      <c r="J67" s="566"/>
      <c r="K67" s="566"/>
      <c r="L67" s="566"/>
      <c r="M67" s="298" t="str">
        <f>FHD_NOTE_P_7</f>
        <v/>
      </c>
      <c r="N67" s="1645" t="str">
        <f>IF((LEN(E67)-LEN(SUBSTITUTE(E67,".","")))/LEN(".")=1,"p","")</f>
        <v/>
      </c>
      <c r="AI67" s="1640">
        <v>0</v>
      </c>
    </row>
    <row customHeight="1" ht="11.549999999999999">
      <c r="D68" s="1647"/>
      <c r="E68" s="555" t="str">
        <f>FHD_NUM_P_8</f>
        <v>2.3</v>
      </c>
      <c r="F68" s="1533" t="str">
        <f>FHD_P_8</f>
        <v>Расходы на приобретаемую электрическую энергию (мощность), используемую в технологическом процессе</v>
      </c>
      <c r="G68" s="1884" t="s">
        <v>565</v>
      </c>
      <c r="H68" s="566"/>
      <c r="I68" s="566">
        <v>63565.14</v>
      </c>
      <c r="J68" s="566">
        <v>9041.69</v>
      </c>
      <c r="K68" s="566">
        <v>267036.79</v>
      </c>
      <c r="L68" s="566">
        <v>0</v>
      </c>
      <c r="M68" s="298" t="str">
        <f>FHD_NOTE_P_8</f>
        <v/>
      </c>
      <c r="N68" s="1645" t="str">
        <f>IF((LEN(E68)-LEN(SUBSTITUTE(E68,".","")))/LEN(".")=1,"p","")</f>
        <v>p</v>
      </c>
      <c r="AI68" s="1640">
        <v>11</v>
      </c>
    </row>
    <row customHeight="1" ht="11.549999999999999">
      <c r="D69" s="1647"/>
      <c r="E69" s="555" t="str">
        <f>FHD_NUM_P_9</f>
        <v>2.3.1</v>
      </c>
      <c r="F69" s="1659" t="str">
        <f>FHD_P_9</f>
        <v>Средневзвешенная стоимость 1 кВт.ч (с учетом мощности)</v>
      </c>
      <c r="G69" s="1884" t="s">
        <v>590</v>
      </c>
      <c r="H69" s="566"/>
      <c r="I69" s="566">
        <v>6.67</v>
      </c>
      <c r="J69" s="566">
        <v>7.46</v>
      </c>
      <c r="K69" s="566">
        <v>2.75</v>
      </c>
      <c r="L69" s="566">
        <v>0</v>
      </c>
      <c r="M69" s="298" t="str">
        <f>FHD_NOTE_P_9</f>
        <v/>
      </c>
      <c r="N69" s="1645" t="str">
        <f>IF((LEN(E69)-LEN(SUBSTITUTE(E69,".","")))/LEN(".")=1,"p","")</f>
        <v/>
      </c>
      <c r="AI69" s="1640">
        <v>11</v>
      </c>
    </row>
    <row s="1375" customFormat="1" customHeight="1" ht="11.549999999999999">
      <c r="A70" s="996"/>
      <c r="C70" s="1645"/>
      <c r="D70" s="583"/>
      <c r="E70" s="555" t="str">
        <f>FHD_NUM_P_10</f>
        <v>2.3.2</v>
      </c>
      <c r="F70" s="1659" t="str">
        <f>FHD_P_10</f>
        <v>Объём приобретения электрической энергии</v>
      </c>
      <c r="G70" s="1884" t="s">
        <v>591</v>
      </c>
      <c r="H70" s="566"/>
      <c r="I70" s="566">
        <v>9529.27</v>
      </c>
      <c r="J70" s="566">
        <v>1212.69</v>
      </c>
      <c r="K70" s="566">
        <v>96980.69</v>
      </c>
      <c r="L70" s="566">
        <v>0</v>
      </c>
      <c r="M70" s="298" t="str">
        <f>FHD_NOTE_P_10</f>
        <v/>
      </c>
      <c r="N70" s="1645" t="str">
        <f>IF((LEN(E70)-LEN(SUBSTITUTE(E70,".","")))/LEN(".")=1,"p","")</f>
        <v/>
      </c>
      <c r="O70" s="1645"/>
      <c r="P70" s="1645"/>
      <c r="U70" s="1645"/>
      <c r="X70" s="553"/>
      <c r="AD70" s="1641"/>
      <c r="AE70" s="1641"/>
      <c r="AF70" s="1641"/>
      <c r="AG70" s="1641"/>
      <c r="AH70" s="1641"/>
      <c r="AI70" s="1169">
        <v>11</v>
      </c>
    </row>
    <row s="1375" customFormat="1" customHeight="1" ht="11.25">
      <c r="A71" s="998" t="s">
        <v>592</v>
      </c>
      <c r="C71" s="1645"/>
      <c r="D71" s="584"/>
      <c r="E71" s="555" t="str">
        <f>FHD_NUM_P_11</f>
        <v>2.4</v>
      </c>
      <c r="F71" s="1533" t="str">
        <f>FHD_P_11</f>
        <v>Расходы на приобретение холодной воды, используемой в технологическом процессе</v>
      </c>
      <c r="G71" s="1884" t="s">
        <v>565</v>
      </c>
      <c r="H71" s="566"/>
      <c r="I71" s="566">
        <v>0</v>
      </c>
      <c r="J71" s="566">
        <v>0</v>
      </c>
      <c r="K71" s="566">
        <v>304415.46</v>
      </c>
      <c r="L71" s="566">
        <v>0</v>
      </c>
      <c r="M71" s="298" t="str">
        <f>FHD_NOTE_P_11</f>
        <v/>
      </c>
      <c r="N71" s="1645" t="str">
        <f>IF((LEN(E71)-LEN(SUBSTITUTE(E71,".","")))/LEN(".")=1,"p","")</f>
        <v>p</v>
      </c>
      <c r="O71" s="1645"/>
      <c r="P71" s="1645"/>
      <c r="U71" s="1645"/>
      <c r="X71" s="553"/>
      <c r="AD71" s="1641"/>
      <c r="AE71" s="1641"/>
      <c r="AF71" s="1641"/>
      <c r="AG71" s="1641"/>
      <c r="AH71" s="1641"/>
      <c r="AI71" s="1169">
        <v>0</v>
      </c>
    </row>
    <row s="1375" customFormat="1" customHeight="1" ht="18.75">
      <c r="A72" s="998" t="s">
        <v>593</v>
      </c>
      <c r="C72" s="1645"/>
      <c r="D72" s="1647"/>
      <c r="E72" s="555" t="str">
        <f>FHD_NUM_P_12</f>
        <v>2.5</v>
      </c>
      <c r="F72" s="1533" t="str">
        <f>FHD_P_12</f>
        <v>Расходы на  химические реагенты, используемые в технологическом процессе</v>
      </c>
      <c r="G72" s="1884" t="s">
        <v>565</v>
      </c>
      <c r="H72" s="586"/>
      <c r="I72" s="586">
        <v>2134.4914</v>
      </c>
      <c r="J72" s="586">
        <v>217.8171</v>
      </c>
      <c r="K72" s="586">
        <v>3074.075</v>
      </c>
      <c r="L72" s="586">
        <v>0</v>
      </c>
      <c r="M72" s="298" t="str">
        <f>FHD_NOTE_P_12</f>
        <v/>
      </c>
      <c r="N72" s="1645" t="str">
        <f>IF((LEN(E72)-LEN(SUBSTITUTE(E72,".","")))/LEN(".")=1,"p","")</f>
        <v>p</v>
      </c>
      <c r="O72" s="1645"/>
      <c r="P72" s="1645"/>
      <c r="U72" s="1645"/>
      <c r="X72" s="553"/>
      <c r="AD72" s="1641"/>
      <c r="AE72" s="1641"/>
      <c r="AF72" s="1641"/>
      <c r="AG72" s="1641"/>
      <c r="AH72" s="1641"/>
      <c r="AI72" s="1169">
        <v>18</v>
      </c>
    </row>
    <row s="1374" customFormat="1" customHeight="1" ht="11.549999999999999">
      <c r="A73" s="997"/>
      <c r="C73" s="739"/>
      <c r="D73" s="682"/>
      <c r="E73" s="555" t="str">
        <f>FHD_NUM_P_13</f>
        <v>2.6</v>
      </c>
      <c r="F73" s="153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73" s="1884" t="s">
        <v>565</v>
      </c>
      <c r="H73" s="566"/>
      <c r="I73" s="566">
        <v>145086.01</v>
      </c>
      <c r="J73" s="566">
        <v>91207</v>
      </c>
      <c r="K73" s="566">
        <v>346923.36</v>
      </c>
      <c r="L73" s="566">
        <v>0</v>
      </c>
      <c r="M73" s="298" t="str">
        <f>FHD_NOTE_P_13</f>
        <v/>
      </c>
      <c r="N73" s="1645" t="str">
        <f>IF((LEN(E73)-LEN(SUBSTITUTE(E73,".","")))/LEN(".")=1,"p","")</f>
        <v>p</v>
      </c>
      <c r="O73" s="739"/>
      <c r="P73" s="739"/>
      <c r="U73" s="739"/>
      <c r="X73" s="740"/>
      <c r="AD73" s="741"/>
      <c r="AE73" s="741"/>
      <c r="AF73" s="741"/>
      <c r="AG73" s="741"/>
      <c r="AH73" s="741"/>
      <c r="AI73" s="738">
        <v>11</v>
      </c>
    </row>
    <row s="1374" customFormat="1" customHeight="1" ht="11.549999999999999">
      <c r="A74" s="997"/>
      <c r="C74" s="739"/>
      <c r="D74" s="682"/>
      <c r="E74" s="555" t="str">
        <f>FHD_NUM_P_14</f>
        <v>2.6.1</v>
      </c>
      <c r="F74" s="1659" t="str">
        <f>FHD_P_14</f>
        <v>Расходы на оплату труда основного производственного персонала</v>
      </c>
      <c r="G74" s="1884" t="s">
        <v>565</v>
      </c>
      <c r="H74" s="566"/>
      <c r="I74" s="566">
        <v>109888.92</v>
      </c>
      <c r="J74" s="566">
        <v>68676.03</v>
      </c>
      <c r="K74" s="566">
        <v>261694.93</v>
      </c>
      <c r="L74" s="566">
        <v>0</v>
      </c>
      <c r="M74" s="298" t="str">
        <f>FHD_NOTE_P_14</f>
        <v/>
      </c>
      <c r="N74" s="1645" t="str">
        <f>IF((LEN(E74)-LEN(SUBSTITUTE(E74,".","")))/LEN(".")=1,"p","")</f>
        <v/>
      </c>
      <c r="O74" s="739"/>
      <c r="P74" s="739"/>
      <c r="U74" s="739"/>
      <c r="X74" s="740"/>
      <c r="AD74" s="741"/>
      <c r="AE74" s="741"/>
      <c r="AF74" s="741"/>
      <c r="AG74" s="741"/>
      <c r="AH74" s="741"/>
      <c r="AI74" s="738">
        <v>11</v>
      </c>
    </row>
    <row s="1374" customFormat="1" customHeight="1" ht="11.549999999999999">
      <c r="A75" s="997"/>
      <c r="C75" s="739"/>
      <c r="D75" s="682"/>
      <c r="E75" s="555" t="str">
        <f>FHD_NUM_P_15</f>
        <v>2.6.2</v>
      </c>
      <c r="F75" s="1659" t="str">
        <f>FHD_P_15</f>
        <v>Страховые взносы на обязательное социальное страхование, выплачиваемые из фонда оплаты труда основного производственного персонала</v>
      </c>
      <c r="G75" s="1884" t="s">
        <v>565</v>
      </c>
      <c r="H75" s="566"/>
      <c r="I75" s="566">
        <v>35197.09</v>
      </c>
      <c r="J75" s="566">
        <v>22530.96</v>
      </c>
      <c r="K75" s="566">
        <v>85228.43</v>
      </c>
      <c r="L75" s="566">
        <v>0</v>
      </c>
      <c r="M75" s="298" t="str">
        <f>FHD_NOTE_P_15</f>
        <v/>
      </c>
      <c r="N75" s="1645" t="str">
        <f>IF((LEN(E75)-LEN(SUBSTITUTE(E75,".","")))/LEN(".")=1,"p","")</f>
        <v/>
      </c>
      <c r="O75" s="739"/>
      <c r="P75" s="739"/>
      <c r="U75" s="739"/>
      <c r="X75" s="740"/>
      <c r="AD75" s="741"/>
      <c r="AE75" s="741"/>
      <c r="AF75" s="741"/>
      <c r="AG75" s="741"/>
      <c r="AH75" s="741"/>
      <c r="AI75" s="738">
        <v>11</v>
      </c>
    </row>
    <row s="1375" customFormat="1" customHeight="1" ht="11.549999999999999">
      <c r="A76" s="996"/>
      <c r="C76" s="1645"/>
      <c r="D76" s="1647"/>
      <c r="E76" s="555" t="str">
        <f>FHD_NUM_P_16</f>
        <v>2.7</v>
      </c>
      <c r="F76" s="153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76" s="1884" t="s">
        <v>565</v>
      </c>
      <c r="H76" s="566"/>
      <c r="I76" s="566">
        <v>16615.59</v>
      </c>
      <c r="J76" s="566">
        <v>8116.94</v>
      </c>
      <c r="K76" s="566">
        <v>112687.82</v>
      </c>
      <c r="L76" s="566">
        <v>9.22</v>
      </c>
      <c r="M76" s="298" t="str">
        <f>FHD_NOTE_P_16</f>
        <v/>
      </c>
      <c r="N76" s="1645" t="str">
        <f>IF((LEN(E76)-LEN(SUBSTITUTE(E76,".","")))/LEN(".")=1,"p","")</f>
        <v>p</v>
      </c>
      <c r="O76" s="1645"/>
      <c r="P76" s="1651"/>
      <c r="Q76" s="546"/>
      <c r="R76" s="546"/>
      <c r="U76" s="1645"/>
      <c r="X76" s="553"/>
      <c r="AD76" s="1641"/>
      <c r="AE76" s="1641"/>
      <c r="AF76" s="1641"/>
      <c r="AG76" s="1641"/>
      <c r="AH76" s="1641"/>
      <c r="AI76" s="1169">
        <v>11</v>
      </c>
    </row>
    <row s="1375" customFormat="1" customHeight="1" ht="11.549999999999999">
      <c r="A77" s="996"/>
      <c r="C77" s="1645"/>
      <c r="D77" s="1647"/>
      <c r="E77" s="555" t="str">
        <f>FHD_NUM_P_17</f>
        <v>2.7.1</v>
      </c>
      <c r="F77" s="1659" t="str">
        <f>FHD_P_17</f>
        <v>Расходы на оплату труда административно-управленческого персонала</v>
      </c>
      <c r="G77" s="1884" t="s">
        <v>565</v>
      </c>
      <c r="H77" s="566"/>
      <c r="I77" s="566">
        <v>12965.28</v>
      </c>
      <c r="J77" s="566">
        <v>6339.25</v>
      </c>
      <c r="K77" s="566">
        <v>87984.78</v>
      </c>
      <c r="L77" s="566">
        <v>7.14</v>
      </c>
      <c r="M77" s="298" t="str">
        <f>FHD_NOTE_P_17</f>
        <v/>
      </c>
      <c r="N77" s="1645" t="str">
        <f>IF((LEN(E77)-LEN(SUBSTITUTE(E77,".","")))/LEN(".")=1,"p","")</f>
        <v/>
      </c>
      <c r="O77" s="1645"/>
      <c r="P77" s="1651"/>
      <c r="Q77" s="546"/>
      <c r="R77" s="546"/>
      <c r="U77" s="1645"/>
      <c r="X77" s="553"/>
      <c r="AD77" s="1641"/>
      <c r="AE77" s="1641"/>
      <c r="AF77" s="1641"/>
      <c r="AG77" s="1641"/>
      <c r="AH77" s="1641"/>
      <c r="AI77" s="1169">
        <v>11</v>
      </c>
    </row>
    <row s="1375" customFormat="1" customHeight="1" ht="11.549999999999999">
      <c r="A78" s="996"/>
      <c r="C78" s="1645"/>
      <c r="D78" s="1647"/>
      <c r="E78" s="555" t="str">
        <f>FHD_NUM_P_18</f>
        <v>2.7.2</v>
      </c>
      <c r="F78" s="1659" t="str">
        <f>FHD_P_18</f>
        <v>Страховые взносы на обязательное социальное страхование, выплачиваемые из фонда оплаты труда административно-управленческого персонала</v>
      </c>
      <c r="G78" s="1884" t="s">
        <v>565</v>
      </c>
      <c r="H78" s="566"/>
      <c r="I78" s="566">
        <v>3650.31</v>
      </c>
      <c r="J78" s="566">
        <v>1777.69</v>
      </c>
      <c r="K78" s="566">
        <v>24703.04</v>
      </c>
      <c r="L78" s="566">
        <v>2.08</v>
      </c>
      <c r="M78" s="298" t="str">
        <f>FHD_NOTE_P_18</f>
        <v/>
      </c>
      <c r="N78" s="1645" t="str">
        <f>IF((LEN(E78)-LEN(SUBSTITUTE(E78,".","")))/LEN(".")=1,"p","")</f>
        <v/>
      </c>
      <c r="O78" s="1645"/>
      <c r="P78" s="1651"/>
      <c r="Q78" s="546"/>
      <c r="R78" s="546"/>
      <c r="U78" s="1645"/>
      <c r="X78" s="553"/>
      <c r="AD78" s="1641"/>
      <c r="AE78" s="1641"/>
      <c r="AF78" s="1641"/>
      <c r="AG78" s="1641"/>
      <c r="AH78" s="1641"/>
      <c r="AI78" s="1169">
        <v>11</v>
      </c>
    </row>
    <row s="1375" customFormat="1" customHeight="1" ht="11.549999999999999">
      <c r="A79" s="996"/>
      <c r="C79" s="1645"/>
      <c r="D79" s="584"/>
      <c r="E79" s="555" t="str">
        <f>FHD_NUM_P_19</f>
        <v>2.8</v>
      </c>
      <c r="F79" s="1533" t="str">
        <f>FHD_P_19</f>
        <v>Расходы на амортизацию основных средств и нематериальных активов</v>
      </c>
      <c r="G79" s="1884" t="s">
        <v>565</v>
      </c>
      <c r="H79" s="566"/>
      <c r="I79" s="566">
        <v>13880.73</v>
      </c>
      <c r="J79" s="566">
        <v>6838.15</v>
      </c>
      <c r="K79" s="566">
        <v>172478.82</v>
      </c>
      <c r="L79" s="566">
        <v>0</v>
      </c>
      <c r="M79" s="298" t="str">
        <f>FHD_NOTE_P_19</f>
        <v/>
      </c>
      <c r="N79" s="1645" t="str">
        <f>IF((LEN(E79)-LEN(SUBSTITUTE(E79,".","")))/LEN(".")=1,"p","")</f>
        <v>p</v>
      </c>
      <c r="O79" s="1645"/>
      <c r="P79" s="1645"/>
      <c r="U79" s="1645"/>
      <c r="X79" s="553"/>
      <c r="AD79" s="1641"/>
      <c r="AE79" s="1641"/>
      <c r="AF79" s="1641"/>
      <c r="AG79" s="1641"/>
      <c r="AH79" s="1641"/>
      <c r="AI79" s="1169">
        <v>11</v>
      </c>
    </row>
    <row s="1375" customFormat="1" customHeight="1" ht="11.549999999999999">
      <c r="A80" s="996"/>
      <c r="C80" s="1645"/>
      <c r="D80" s="584"/>
      <c r="E80" s="555" t="str">
        <f>FHD_NUM_P_20</f>
        <v>2.8.1</v>
      </c>
      <c r="F80" s="1659" t="str">
        <f>FHD_P_20</f>
        <v>Расходы на амортизацию основных средств</v>
      </c>
      <c r="G80" s="1884" t="s">
        <v>565</v>
      </c>
      <c r="H80" s="566"/>
      <c r="I80" s="566">
        <v>10714.06</v>
      </c>
      <c r="J80" s="566">
        <v>1125.67</v>
      </c>
      <c r="K80" s="566">
        <v>166569.17</v>
      </c>
      <c r="L80" s="566">
        <v>0</v>
      </c>
      <c r="M80" s="298" t="str">
        <f>FHD_NOTE_P_20</f>
        <v/>
      </c>
      <c r="N80" s="1645" t="str">
        <f>IF((LEN(E80)-LEN(SUBSTITUTE(E80,".","")))/LEN(".")=1,"p","")</f>
        <v/>
      </c>
      <c r="O80" s="1645"/>
      <c r="P80" s="1645"/>
      <c r="U80" s="1645"/>
      <c r="X80" s="553"/>
      <c r="AD80" s="1641"/>
      <c r="AE80" s="1641"/>
      <c r="AF80" s="1641"/>
      <c r="AG80" s="1641"/>
      <c r="AH80" s="1641"/>
      <c r="AI80" s="1169">
        <v>11</v>
      </c>
    </row>
    <row s="1375" customFormat="1" customHeight="1" ht="11.549999999999999">
      <c r="A81" s="996"/>
      <c r="C81" s="1645"/>
      <c r="D81" s="584"/>
      <c r="E81" s="555" t="str">
        <f>FHD_NUM_P_21</f>
        <v>2.8.2</v>
      </c>
      <c r="F81" s="1659" t="str">
        <f>FHD_P_21</f>
        <v>Расходы на амортизацию нематериальных активов</v>
      </c>
      <c r="G81" s="1884" t="s">
        <v>565</v>
      </c>
      <c r="H81" s="566"/>
      <c r="I81" s="566">
        <v>412.44</v>
      </c>
      <c r="J81" s="566">
        <v>456.99</v>
      </c>
      <c r="K81" s="566">
        <v>1069.93</v>
      </c>
      <c r="L81" s="566">
        <v>0</v>
      </c>
      <c r="M81" s="298" t="str">
        <f>FHD_NOTE_P_21</f>
        <v/>
      </c>
      <c r="N81" s="1645" t="str">
        <f>IF((LEN(E81)-LEN(SUBSTITUTE(E81,".","")))/LEN(".")=1,"p","")</f>
        <v/>
      </c>
      <c r="O81" s="1645"/>
      <c r="P81" s="1645"/>
      <c r="U81" s="1645"/>
      <c r="X81" s="553"/>
      <c r="AD81" s="1641"/>
      <c r="AE81" s="1641"/>
      <c r="AF81" s="1641"/>
      <c r="AG81" s="1641"/>
      <c r="AH81" s="1641"/>
      <c r="AI81" s="1169">
        <v>11</v>
      </c>
    </row>
    <row s="1375" customFormat="1" customHeight="1" ht="11.549999999999999">
      <c r="A82" s="996"/>
      <c r="C82" s="1645"/>
      <c r="D82" s="1647"/>
      <c r="E82" s="555" t="str">
        <f>FHD_NUM_P_22</f>
        <v>2.9</v>
      </c>
      <c r="F82" s="1533" t="str">
        <f>FHD_P_22</f>
        <v>Расходы на аренду имущества, используемого для осуществления регулируемого вида деятельности</v>
      </c>
      <c r="G82" s="1884" t="s">
        <v>565</v>
      </c>
      <c r="H82" s="566"/>
      <c r="I82" s="566">
        <v>0</v>
      </c>
      <c r="J82" s="566">
        <v>16868.51</v>
      </c>
      <c r="K82" s="566">
        <v>42.87</v>
      </c>
      <c r="L82" s="566">
        <v>0</v>
      </c>
      <c r="M82" s="298" t="str">
        <f>FHD_NOTE_P_22</f>
        <v/>
      </c>
      <c r="N82" s="1645" t="str">
        <f>IF((LEN(E82)-LEN(SUBSTITUTE(E82,".","")))/LEN(".")=1,"p","")</f>
        <v>p</v>
      </c>
      <c r="O82" s="1645"/>
      <c r="P82" s="1645"/>
      <c r="U82" s="1645"/>
      <c r="X82" s="553"/>
      <c r="AD82" s="1641"/>
      <c r="AE82" s="1641"/>
      <c r="AF82" s="1641"/>
      <c r="AG82" s="1641"/>
      <c r="AH82" s="1641"/>
      <c r="AI82" s="1169">
        <v>11</v>
      </c>
    </row>
    <row s="1375" customFormat="1" customHeight="1" ht="11.549999999999999">
      <c r="A83" s="996"/>
      <c r="C83" s="1645"/>
      <c r="D83" s="584"/>
      <c r="E83" s="555" t="str">
        <f>FHD_NUM_P_23</f>
        <v>2.10</v>
      </c>
      <c r="F83" s="1533" t="str">
        <f>FHD_P_23</f>
        <v>Общепроизводственные расходы, в том числе:</v>
      </c>
      <c r="G83" s="1884" t="s">
        <v>565</v>
      </c>
      <c r="H83" s="566"/>
      <c r="I83" s="566">
        <v>393035.21</v>
      </c>
      <c r="J83" s="566">
        <v>176034.89</v>
      </c>
      <c r="K83" s="566">
        <v>3603803.32</v>
      </c>
      <c r="L83" s="566">
        <v>393.72</v>
      </c>
      <c r="M83" s="298" t="str">
        <f>FHD_NOTE_P_23</f>
        <v>Указывается общая сумма общепроизводственных расходов.</v>
      </c>
      <c r="N83" s="1645" t="str">
        <f>IF((LEN(E83)-LEN(SUBSTITUTE(E83,".","")))/LEN(".")=1,"p","")</f>
        <v>p</v>
      </c>
      <c r="O83" s="1645"/>
      <c r="P83" s="1645"/>
      <c r="U83" s="1645"/>
      <c r="X83" s="553"/>
      <c r="AD83" s="1641"/>
      <c r="AE83" s="1641"/>
      <c r="AF83" s="1641"/>
      <c r="AG83" s="1641"/>
      <c r="AH83" s="1641"/>
      <c r="AI83" s="1169">
        <v>11</v>
      </c>
    </row>
    <row s="1375" customFormat="1" customHeight="1" ht="11.549999999999999">
      <c r="A84" s="996"/>
      <c r="C84" s="1645"/>
      <c r="D84" s="584"/>
      <c r="E84" s="555" t="str">
        <f>FHD_NUM_P_24</f>
        <v>2.10.1</v>
      </c>
      <c r="F84" s="1659" t="str">
        <f>FHD_P_24</f>
        <v>Расходы на текущий ремонт</v>
      </c>
      <c r="G84" s="1884" t="s">
        <v>565</v>
      </c>
      <c r="H84" s="566"/>
      <c r="I84" s="566">
        <v>0</v>
      </c>
      <c r="J84" s="566">
        <v>0</v>
      </c>
      <c r="K84" s="566">
        <v>0</v>
      </c>
      <c r="L84" s="566">
        <v>0</v>
      </c>
      <c r="M84" s="298" t="str">
        <f>FHD_NOTE_P_24</f>
        <v>Указываются расходы на текущий ремонт, отнесенные к общепроизводственным расходам.</v>
      </c>
      <c r="N84" s="1645" t="str">
        <f>IF((LEN(E84)-LEN(SUBSTITUTE(E84,".","")))/LEN(".")=1,"p","")</f>
        <v/>
      </c>
      <c r="O84" s="1645"/>
      <c r="P84" s="1645"/>
      <c r="U84" s="1645"/>
      <c r="X84" s="553"/>
      <c r="AD84" s="1641"/>
      <c r="AE84" s="1641"/>
      <c r="AF84" s="1641"/>
      <c r="AG84" s="1641"/>
      <c r="AH84" s="1641"/>
      <c r="AI84" s="1169">
        <v>11</v>
      </c>
    </row>
    <row s="1375" customFormat="1" customHeight="1" ht="11.549999999999999">
      <c r="A85" s="996"/>
      <c r="C85" s="1645"/>
      <c r="D85" s="584"/>
      <c r="E85" s="555" t="str">
        <f>FHD_NUM_P_25</f>
        <v>2.10.2</v>
      </c>
      <c r="F85" s="1659" t="str">
        <f>FHD_P_25</f>
        <v>Расходы на капитальный ремонт</v>
      </c>
      <c r="G85" s="1884" t="s">
        <v>565</v>
      </c>
      <c r="H85" s="566"/>
      <c r="I85" s="566">
        <v>0</v>
      </c>
      <c r="J85" s="566">
        <v>0</v>
      </c>
      <c r="K85" s="566">
        <v>0</v>
      </c>
      <c r="L85" s="566">
        <v>0</v>
      </c>
      <c r="M85" s="298" t="str">
        <f>FHD_NOTE_P_25</f>
        <v>Указываются расходы на капитальный ремонт, отнесенные к общепроизводственным расходам.</v>
      </c>
      <c r="N85" s="1645" t="str">
        <f>IF((LEN(E85)-LEN(SUBSTITUTE(E85,".","")))/LEN(".")=1,"p","")</f>
        <v/>
      </c>
      <c r="O85" s="1645"/>
      <c r="P85" s="1645"/>
      <c r="U85" s="1645"/>
      <c r="X85" s="553"/>
      <c r="AD85" s="1641"/>
      <c r="AE85" s="1641"/>
      <c r="AF85" s="1641"/>
      <c r="AG85" s="1641"/>
      <c r="AH85" s="1641"/>
      <c r="AI85" s="1169">
        <v>11</v>
      </c>
    </row>
    <row s="1375" customFormat="1" customHeight="1" ht="11.549999999999999">
      <c r="A86" s="996"/>
      <c r="C86" s="1645"/>
      <c r="D86" s="1647"/>
      <c r="E86" s="555" t="str">
        <f>FHD_NUM_P_26</f>
        <v>2.11</v>
      </c>
      <c r="F86" s="1533" t="str">
        <f>FHD_P_26</f>
        <v>Общехозяйственные расходы, в том числе:</v>
      </c>
      <c r="G86" s="1884" t="s">
        <v>565</v>
      </c>
      <c r="H86" s="566"/>
      <c r="I86" s="566">
        <v>4714.91</v>
      </c>
      <c r="J86" s="566">
        <v>2301.9</v>
      </c>
      <c r="K86" s="566">
        <v>31865.22</v>
      </c>
      <c r="L86" s="566">
        <v>3.17</v>
      </c>
      <c r="M86" s="298" t="str">
        <f>FHD_NOTE_P_26</f>
        <v>Указывается общая сумма общехозяйственных расходов.</v>
      </c>
      <c r="N86" s="1645" t="str">
        <f>IF((LEN(E86)-LEN(SUBSTITUTE(E86,".","")))/LEN(".")=1,"p","")</f>
        <v>p</v>
      </c>
      <c r="O86" s="1645"/>
      <c r="P86" s="1645"/>
      <c r="U86" s="1645"/>
      <c r="X86" s="553"/>
      <c r="AD86" s="1641"/>
      <c r="AE86" s="1641"/>
      <c r="AF86" s="1641"/>
      <c r="AG86" s="1641"/>
      <c r="AH86" s="1641"/>
      <c r="AI86" s="1169">
        <v>11</v>
      </c>
    </row>
    <row s="1375" customFormat="1" customHeight="1" ht="11.549999999999999">
      <c r="A87" s="996"/>
      <c r="C87" s="1645"/>
      <c r="D87" s="1647"/>
      <c r="E87" s="555" t="str">
        <f>FHD_NUM_P_27</f>
        <v>2.11.1</v>
      </c>
      <c r="F87" s="1659" t="str">
        <f>FHD_P_27</f>
        <v>Расходы на текущий ремонт</v>
      </c>
      <c r="G87" s="1884" t="s">
        <v>565</v>
      </c>
      <c r="H87" s="566"/>
      <c r="I87" s="566">
        <v>0</v>
      </c>
      <c r="J87" s="566">
        <v>0</v>
      </c>
      <c r="K87" s="566">
        <v>0</v>
      </c>
      <c r="L87" s="566">
        <v>0</v>
      </c>
      <c r="M87" s="298" t="str">
        <f>FHD_NOTE_P_27</f>
        <v>Указываются расходы на текущий ремонт, отнесенные к общехозяйственным расходам.</v>
      </c>
      <c r="N87" s="1645" t="str">
        <f>IF((LEN(E87)-LEN(SUBSTITUTE(E87,".","")))/LEN(".")=1,"p","")</f>
        <v/>
      </c>
      <c r="O87" s="1645"/>
      <c r="P87" s="1645"/>
      <c r="U87" s="1645"/>
      <c r="X87" s="553"/>
      <c r="AD87" s="1641"/>
      <c r="AE87" s="1641"/>
      <c r="AF87" s="1641"/>
      <c r="AG87" s="1641"/>
      <c r="AH87" s="1641"/>
      <c r="AI87" s="1169">
        <v>11</v>
      </c>
    </row>
    <row s="1375" customFormat="1" customHeight="1" ht="11.549999999999999">
      <c r="A88" s="996"/>
      <c r="C88" s="1645"/>
      <c r="D88" s="1647"/>
      <c r="E88" s="555" t="str">
        <f>FHD_NUM_P_28</f>
        <v>2.11.2</v>
      </c>
      <c r="F88" s="1659" t="str">
        <f>FHD_P_28</f>
        <v>Расходы на капитальный ремонт</v>
      </c>
      <c r="G88" s="1884" t="s">
        <v>565</v>
      </c>
      <c r="H88" s="566"/>
      <c r="I88" s="566">
        <v>0</v>
      </c>
      <c r="J88" s="566">
        <v>0</v>
      </c>
      <c r="K88" s="566">
        <v>0</v>
      </c>
      <c r="L88" s="566">
        <v>0</v>
      </c>
      <c r="M88" s="298" t="str">
        <f>FHD_NOTE_P_28</f>
        <v>Указываются расходы на капитальный ремонт, отнесенные к общехозяйственным расходам.</v>
      </c>
      <c r="N88" s="1645" t="str">
        <f>IF((LEN(E88)-LEN(SUBSTITUTE(E88,".","")))/LEN(".")=1,"p","")</f>
        <v/>
      </c>
      <c r="O88" s="1645"/>
      <c r="P88" s="1645"/>
      <c r="U88" s="1645"/>
      <c r="X88" s="553"/>
      <c r="AD88" s="1641"/>
      <c r="AE88" s="1641"/>
      <c r="AF88" s="1641"/>
      <c r="AG88" s="1641"/>
      <c r="AH88" s="1641"/>
      <c r="AI88" s="1169">
        <v>11</v>
      </c>
    </row>
    <row s="1375" customFormat="1" customHeight="1" ht="11.549999999999999">
      <c r="A89" s="996"/>
      <c r="C89" s="1645"/>
      <c r="D89" s="1647"/>
      <c r="E89" s="555" t="str">
        <f>FHD_NUM_P_29</f>
        <v>2.12</v>
      </c>
      <c r="F89" s="1533" t="str">
        <f>FHD_P_29</f>
        <v>Расходы на капитальный и текущий ремонт основных средств</v>
      </c>
      <c r="G89" s="1884" t="s">
        <v>565</v>
      </c>
      <c r="H89" s="566"/>
      <c r="I89" s="566">
        <v>160631.25</v>
      </c>
      <c r="J89" s="566">
        <v>83462.73</v>
      </c>
      <c r="K89" s="566">
        <v>437101.5</v>
      </c>
      <c r="L89" s="566">
        <v>0</v>
      </c>
      <c r="M89" s="29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N89" s="1645" t="str">
        <f>IF((LEN(E89)-LEN(SUBSTITUTE(E89,".","")))/LEN(".")=1,"p","")</f>
        <v>p</v>
      </c>
      <c r="O89" s="1645"/>
      <c r="P89" s="1645"/>
      <c r="U89" s="1645"/>
      <c r="X89" s="553"/>
      <c r="AD89" s="1641"/>
      <c r="AE89" s="1641"/>
      <c r="AF89" s="1641"/>
      <c r="AG89" s="1641"/>
      <c r="AH89" s="1641"/>
      <c r="AI89" s="1169">
        <v>11</v>
      </c>
    </row>
    <row s="1375" customFormat="1" customHeight="1" ht="11.549999999999999">
      <c r="A90" s="996"/>
      <c r="C90" s="1645"/>
      <c r="D90" s="1647"/>
      <c r="E90" s="555" t="str">
        <f>FHD_NUM_P_30</f>
        <v>2.12.1</v>
      </c>
      <c r="F90" s="165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90" s="1884" t="s">
        <v>321</v>
      </c>
      <c r="H90" s="1658" t="s">
        <v>594</v>
      </c>
      <c r="I90" s="1658" t="s">
        <v>594</v>
      </c>
      <c r="J90" s="2513" t="s">
        <v>594</v>
      </c>
      <c r="K90" s="2513" t="s">
        <v>594</v>
      </c>
      <c r="L90" s="2513" t="s">
        <v>594</v>
      </c>
      <c r="M90" s="298" t="str">
        <f>FHD_NOTE_P_30</f>
        <v/>
      </c>
      <c r="N90" s="1645" t="str">
        <f>IF((LEN(E90)-LEN(SUBSTITUTE(E90,".","")))/LEN(".")=1,"p","")</f>
        <v/>
      </c>
      <c r="O90" s="1645">
        <f>_xlfn.IFERROR(MATCH("есть",B_FHD_FLAG_INDEX_1,0),0)</f>
        <v>0</v>
      </c>
      <c r="P90" s="1645"/>
      <c r="U90" s="1645"/>
      <c r="X90" s="553"/>
      <c r="AD90" s="1641"/>
      <c r="AE90" s="1641"/>
      <c r="AF90" s="1641"/>
      <c r="AG90" s="1641"/>
      <c r="AH90" s="1641"/>
      <c r="AI90" s="1169">
        <v>11</v>
      </c>
    </row>
    <row s="1375" customFormat="1" customHeight="1" ht="23.25" hidden="1">
      <c r="A91" s="2399" t="s">
        <v>595</v>
      </c>
      <c r="C91" s="1645"/>
      <c r="D91" s="1647"/>
      <c r="E91" s="555" t="str">
        <f>FHD_NUM_P_31</f>
        <v/>
      </c>
      <c r="F91" s="1533" t="str">
        <f>FHD_P_31</f>
        <v/>
      </c>
      <c r="G91" s="1884" t="s">
        <v>565</v>
      </c>
      <c r="H91" s="566"/>
      <c r="I91" s="566"/>
      <c r="J91" s="566"/>
      <c r="K91" s="566"/>
      <c r="L91" s="566"/>
      <c r="M91" s="298" t="str">
        <f>FHD_NOTE_P_31</f>
        <v/>
      </c>
      <c r="N91" s="1645" t="str">
        <f>IF((LEN(E91)-LEN(SUBSTITUTE(E91,".","")))/LEN(".")=1,"p","")</f>
        <v/>
      </c>
      <c r="O91" s="1645"/>
      <c r="P91" s="1645"/>
      <c r="U91" s="1645"/>
      <c r="X91" s="553"/>
      <c r="AD91" s="1641"/>
      <c r="AE91" s="1641"/>
      <c r="AF91" s="1641"/>
      <c r="AG91" s="1641"/>
      <c r="AH91" s="1641"/>
      <c r="AI91" s="1169">
        <v>22</v>
      </c>
    </row>
    <row s="1375" customFormat="1" customHeight="1" ht="47.25" hidden="1">
      <c r="A92" s="2399"/>
      <c r="C92" s="1645"/>
      <c r="D92" s="1647"/>
      <c r="E92" s="555" t="str">
        <f>FHD_NUM_P_32</f>
        <v/>
      </c>
      <c r="F92" s="1659" t="str">
        <f>FHD_P_32</f>
        <v/>
      </c>
      <c r="G92" s="1884" t="s">
        <v>321</v>
      </c>
      <c r="H92" s="1658" t="s">
        <v>594</v>
      </c>
      <c r="I92" s="1658" t="s">
        <v>594</v>
      </c>
      <c r="J92" s="2513" t="s">
        <v>594</v>
      </c>
      <c r="K92" s="2513" t="s">
        <v>594</v>
      </c>
      <c r="L92" s="2513" t="s">
        <v>594</v>
      </c>
      <c r="M92" s="298" t="str">
        <f>FHD_NOTE_P_32</f>
        <v/>
      </c>
      <c r="N92" s="1645" t="str">
        <f>IF((LEN(E92)-LEN(SUBSTITUTE(E92,".","")))/LEN(".")=1,"p","")</f>
        <v/>
      </c>
      <c r="O92" s="1645">
        <f>_xlfn.IFERROR(MATCH("есть",B_FHD_FLAG_INDEX_2,0),0)</f>
        <v>0</v>
      </c>
      <c r="P92" s="1645"/>
      <c r="U92" s="1645"/>
      <c r="X92" s="553"/>
      <c r="AD92" s="1641"/>
      <c r="AE92" s="1641"/>
      <c r="AF92" s="1641"/>
      <c r="AG92" s="1641"/>
      <c r="AH92" s="1641"/>
      <c r="AI92" s="1169">
        <v>45</v>
      </c>
    </row>
    <row s="1375" customFormat="1" customHeight="1" ht="11.549999999999999">
      <c r="A93" s="996"/>
      <c r="C93" s="1645"/>
      <c r="D93" s="1647"/>
      <c r="E93" s="555" t="str">
        <f>FHD_NUM_P_33</f>
        <v>2.13</v>
      </c>
      <c r="F93" s="1533" t="str">
        <f>FHD_P_33</f>
        <v>Прочие расходы, которые подлежат отнесению на регулируемые виды деятельности в соответствии с законодательством Российской Федерации</v>
      </c>
      <c r="G93" s="1885" t="s">
        <v>565</v>
      </c>
      <c r="H93" s="588">
        <f>SUM(H94:H95)</f>
        <v>0</v>
      </c>
      <c r="I93" s="588">
        <f>SUM(I94:I95)</f>
        <v>0</v>
      </c>
      <c r="J93" s="588">
        <f>SUM(J94:J95)</f>
        <v>0</v>
      </c>
      <c r="K93" s="588">
        <f>SUM(K94:K95)</f>
        <v>0</v>
      </c>
      <c r="L93" s="588">
        <f>SUM(L94:L95)</f>
        <v>0</v>
      </c>
      <c r="M93" s="29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N93" s="1645" t="str">
        <f>IF((LEN(E93)-LEN(SUBSTITUTE(E93,".","")))/LEN(".")=1,"p","")</f>
        <v>p</v>
      </c>
      <c r="O93" s="1645"/>
      <c r="P93" s="1645"/>
      <c r="U93" s="1645"/>
      <c r="X93" s="553"/>
      <c r="AD93" s="1641"/>
      <c r="AE93" s="1641"/>
      <c r="AF93" s="1641"/>
      <c r="AG93" s="1641"/>
      <c r="AH93" s="1641"/>
      <c r="AI93" s="1169">
        <v>11</v>
      </c>
    </row>
    <row s="1651" customFormat="1" customHeight="1" ht="1.05">
      <c r="A94" s="1176"/>
      <c r="D94" s="557"/>
      <c r="E94" s="1022" t="str">
        <f>E93&amp;".0"</f>
        <v>2.13.0</v>
      </c>
      <c r="F94" s="1000"/>
      <c r="G94" s="1022"/>
      <c r="H94" s="1001"/>
      <c r="I94" s="1001"/>
      <c r="J94" s="1001"/>
      <c r="K94" s="1001"/>
      <c r="L94" s="1001"/>
      <c r="M94" s="1002"/>
      <c r="N94" s="1645" t="str">
        <f>IF((LEN(E94)-LEN(SUBSTITUTE(E94,".","")))/LEN(".")=1,"p","")</f>
        <v/>
      </c>
      <c r="AI94" s="1645">
        <v>1</v>
      </c>
    </row>
    <row s="1375" customFormat="1" customHeight="1" ht="14.699999999999998">
      <c r="A95" s="996"/>
      <c r="C95" s="1645"/>
      <c r="D95" s="1642"/>
      <c r="E95" s="579"/>
      <c r="F95" s="580" t="s">
        <v>596</v>
      </c>
      <c r="G95" s="581"/>
      <c r="H95" s="582"/>
      <c r="I95" s="582"/>
      <c r="J95" s="2670"/>
      <c r="K95" s="2671"/>
      <c r="L95" s="2672"/>
      <c r="M95" s="310"/>
      <c r="N95" s="1645"/>
      <c r="O95" s="1645"/>
      <c r="P95" s="1645"/>
      <c r="U95" s="1645"/>
      <c r="X95" s="553"/>
      <c r="AD95" s="1641"/>
      <c r="AE95" s="1641"/>
      <c r="AF95" s="1641"/>
      <c r="AG95" s="1641"/>
      <c r="AH95" s="1641"/>
      <c r="AI95" s="1169">
        <v>14</v>
      </c>
    </row>
    <row s="1375" customFormat="1" customHeight="1" ht="18.75">
      <c r="A96" s="998" t="s">
        <v>597</v>
      </c>
      <c r="C96" s="1645"/>
      <c r="D96" s="1647"/>
      <c r="E96" s="555" t="str">
        <f>FHD_NUM_P_34</f>
        <v>3</v>
      </c>
      <c r="F96" s="1886" t="str">
        <f>FHD_P_34</f>
        <v>Валовая прибыль (убытки) от реализации товаров и оказания услуг по регулируемому виду деятельности</v>
      </c>
      <c r="G96" s="1884" t="s">
        <v>565</v>
      </c>
      <c r="H96" s="566"/>
      <c r="I96" s="566">
        <v>-541919.13</v>
      </c>
      <c r="J96" s="566">
        <v>-415394.19</v>
      </c>
      <c r="K96" s="566">
        <v>-486098.79</v>
      </c>
      <c r="L96" s="566">
        <v>313553.12</v>
      </c>
      <c r="M96" s="298" t="str">
        <f>FHD_NOTE_P_34</f>
        <v/>
      </c>
      <c r="N96" s="552"/>
      <c r="O96" s="1645"/>
      <c r="P96" s="1645"/>
      <c r="U96" s="1645"/>
      <c r="X96" s="553"/>
      <c r="AD96" s="1641"/>
      <c r="AE96" s="1641"/>
      <c r="AF96" s="1641"/>
      <c r="AG96" s="1641"/>
      <c r="AH96" s="1641"/>
      <c r="AI96" s="1169">
        <v>0</v>
      </c>
    </row>
    <row s="1375" customFormat="1" customHeight="1" ht="20.25">
      <c r="A97" s="996"/>
      <c r="C97" s="1645"/>
      <c r="D97" s="584"/>
      <c r="E97" s="555" t="str">
        <f>FHD_NUM_P_35</f>
        <v>4</v>
      </c>
      <c r="F97" s="1886" t="str">
        <f>FHD_P_35</f>
        <v>Чистая прибыль, полученная от регулируемого вида деятельности, в том числе:</v>
      </c>
      <c r="G97" s="1884" t="s">
        <v>565</v>
      </c>
      <c r="H97" s="566"/>
      <c r="I97" s="566">
        <v>-654329.25</v>
      </c>
      <c r="J97" s="566">
        <v>-541452.68</v>
      </c>
      <c r="K97" s="566">
        <v>-4242589.72</v>
      </c>
      <c r="L97" s="566">
        <v>313546.67</v>
      </c>
      <c r="M97" s="298" t="str">
        <f>FHD_NOTE_P_35</f>
        <v>Указывается общая сумма чистой прибыли, полученной от регулируемого вида деятельности.</v>
      </c>
      <c r="N97" s="552"/>
      <c r="O97" s="1645"/>
      <c r="P97" s="1645"/>
      <c r="U97" s="1645"/>
      <c r="X97" s="553"/>
      <c r="AD97" s="1641"/>
      <c r="AE97" s="1641"/>
      <c r="AF97" s="1641"/>
      <c r="AG97" s="1641"/>
      <c r="AH97" s="1641"/>
      <c r="AI97" s="1169">
        <v>19</v>
      </c>
    </row>
    <row s="1375" customFormat="1" customHeight="1" ht="19.95">
      <c r="A98" s="996"/>
      <c r="C98" s="1645"/>
      <c r="D98" s="1647"/>
      <c r="E98" s="555" t="str">
        <f>FHD_NUM_P_36</f>
        <v>4.1</v>
      </c>
      <c r="F98" s="1533" t="str">
        <f>FHD_P_36</f>
        <v>Размер расходования чистой прибыли на финансирование мероприятий, предусмотренных инвестиционной программой регулируемой организации</v>
      </c>
      <c r="G98" s="1884" t="s">
        <v>565</v>
      </c>
      <c r="H98" s="566"/>
      <c r="I98" s="566">
        <v>0</v>
      </c>
      <c r="J98" s="566">
        <v>0</v>
      </c>
      <c r="K98" s="566">
        <v>0</v>
      </c>
      <c r="L98" s="566">
        <v>0</v>
      </c>
      <c r="M98" s="298" t="str">
        <f>FHD_NOTE_P_36</f>
        <v/>
      </c>
      <c r="N98" s="552"/>
      <c r="O98" s="1645"/>
      <c r="P98" s="1645"/>
      <c r="U98" s="1645"/>
      <c r="X98" s="553"/>
      <c r="AD98" s="1641"/>
      <c r="AE98" s="1641"/>
      <c r="AF98" s="1641"/>
      <c r="AG98" s="1641"/>
      <c r="AH98" s="1641"/>
      <c r="AI98" s="1169">
        <v>19</v>
      </c>
    </row>
    <row s="1375" customFormat="1" customHeight="1" ht="20.25">
      <c r="A99" s="996"/>
      <c r="C99" s="1645"/>
      <c r="D99" s="1647"/>
      <c r="E99" s="555" t="str">
        <f>FHD_NUM_P_37</f>
        <v>5</v>
      </c>
      <c r="F99" s="1886" t="str">
        <f>FHD_P_37</f>
        <v>Изменение стоимости основных фондов, в том числе:</v>
      </c>
      <c r="G99" s="1884" t="s">
        <v>565</v>
      </c>
      <c r="H99" s="566"/>
      <c r="I99" s="566">
        <v>536602.3149</v>
      </c>
      <c r="J99" s="566">
        <v>283065.285</v>
      </c>
      <c r="K99" s="566">
        <v>96028.2946</v>
      </c>
      <c r="L99" s="566">
        <v>0</v>
      </c>
      <c r="M99" s="298" t="str">
        <f>FHD_NOTE_P_37</f>
        <v>Указывается общее изменение стоимости основных фондов.</v>
      </c>
      <c r="N99" s="552"/>
      <c r="O99" s="1645"/>
      <c r="P99" s="1645"/>
      <c r="U99" s="1645"/>
      <c r="X99" s="553"/>
      <c r="AD99" s="1641"/>
      <c r="AE99" s="1641"/>
      <c r="AF99" s="1641"/>
      <c r="AG99" s="1641"/>
      <c r="AH99" s="1641"/>
      <c r="AI99" s="1169">
        <v>19</v>
      </c>
    </row>
    <row s="1375" customFormat="1" customHeight="1" ht="20.25">
      <c r="A100" s="996"/>
      <c r="C100" s="1645"/>
      <c r="D100" s="1647"/>
      <c r="E100" s="555" t="str">
        <f>FHD_NUM_P_38</f>
        <v>5.1</v>
      </c>
      <c r="F100" s="1533" t="str">
        <f>FHD_P_38</f>
        <v>Изменение стоимости основных фондов за счет:</v>
      </c>
      <c r="G100" s="1884" t="s">
        <v>565</v>
      </c>
      <c r="H100" s="566"/>
      <c r="I100" s="566">
        <v>536602.3149</v>
      </c>
      <c r="J100" s="566">
        <v>283065.285</v>
      </c>
      <c r="K100" s="566">
        <v>96028.2946</v>
      </c>
      <c r="L100" s="566">
        <v>0</v>
      </c>
      <c r="M100" s="298" t="str">
        <f>FHD_NOTE_P_38</f>
        <v>Указываются общее изменение стоимости основных фондов за счет их ввода в эксплуатацию и вывода из эксплуатации.</v>
      </c>
      <c r="N100" s="552"/>
      <c r="O100" s="1645"/>
      <c r="P100" s="1645"/>
      <c r="U100" s="1645"/>
      <c r="X100" s="553"/>
      <c r="AD100" s="1641"/>
      <c r="AE100" s="1641"/>
      <c r="AF100" s="1641"/>
      <c r="AG100" s="1641"/>
      <c r="AH100" s="1641"/>
      <c r="AI100" s="1169">
        <v>19</v>
      </c>
    </row>
    <row s="1375" customFormat="1" customHeight="1" ht="20.25">
      <c r="A101" s="996"/>
      <c r="C101" s="1645"/>
      <c r="D101" s="1647"/>
      <c r="E101" s="555" t="str">
        <f>FHD_NUM_P_39</f>
        <v>5.1.1</v>
      </c>
      <c r="F101" s="1659" t="str">
        <f>FHD_P_39</f>
        <v>Изменения стоимости основных фондов за счет их ввода в эксплуатацию</v>
      </c>
      <c r="G101" s="2078" t="s">
        <v>565</v>
      </c>
      <c r="H101" s="566"/>
      <c r="I101" s="566">
        <v>621070.6947</v>
      </c>
      <c r="J101" s="566">
        <v>727299.0143</v>
      </c>
      <c r="K101" s="566">
        <v>96101.7946</v>
      </c>
      <c r="L101" s="566">
        <v>0</v>
      </c>
      <c r="M101" s="298" t="str">
        <f>FHD_NOTE_P_39</f>
        <v>Указываются изменение стоимости основных фондов за счет их ввода в эксплуатацию.</v>
      </c>
      <c r="N101" s="552"/>
      <c r="O101" s="1645"/>
      <c r="P101" s="1645"/>
      <c r="U101" s="1645"/>
      <c r="X101" s="553"/>
      <c r="AD101" s="1641"/>
      <c r="AE101" s="1641"/>
      <c r="AF101" s="1641"/>
      <c r="AG101" s="1641"/>
      <c r="AH101" s="1641"/>
      <c r="AI101" s="1169">
        <v>19</v>
      </c>
    </row>
    <row s="1375" customFormat="1" customHeight="1" ht="20.25">
      <c r="A102" s="996"/>
      <c r="C102" s="1645"/>
      <c r="D102" s="1647"/>
      <c r="E102" s="555" t="str">
        <f>FHD_NUM_P_40</f>
        <v>5.1.2</v>
      </c>
      <c r="F102" s="2082" t="str">
        <f>FHD_P_40</f>
        <v>Изменения стоимости основных фондов за счет их вывода в эксплуатацию</v>
      </c>
      <c r="G102" s="2077" t="s">
        <v>565</v>
      </c>
      <c r="H102" s="985"/>
      <c r="I102" s="566">
        <v>84468.37976</v>
      </c>
      <c r="J102" s="985">
        <v>444233.7293</v>
      </c>
      <c r="K102" s="985">
        <v>73.5</v>
      </c>
      <c r="L102" s="985">
        <v>0</v>
      </c>
      <c r="M102" s="298" t="str">
        <f>FHD_NOTE_P_40</f>
        <v>Указываются изменение стоимости основных фондов за счет их вывода из эксплуатации.</v>
      </c>
      <c r="N102" s="552"/>
      <c r="O102" s="1645"/>
      <c r="P102" s="1645"/>
      <c r="U102" s="1645"/>
      <c r="X102" s="553"/>
      <c r="AD102" s="1641"/>
      <c r="AE102" s="1641"/>
      <c r="AF102" s="1641"/>
      <c r="AG102" s="1641"/>
      <c r="AH102" s="1641"/>
      <c r="AI102" s="1169">
        <v>19</v>
      </c>
    </row>
    <row s="1375" customFormat="1" customHeight="1" ht="19.95">
      <c r="A103" s="996"/>
      <c r="C103" s="1645"/>
      <c r="D103" s="1647"/>
      <c r="E103" s="555" t="str">
        <f>FHD_NUM_P_41</f>
        <v>5.2</v>
      </c>
      <c r="F103" s="2081" t="str">
        <f>FHD_P_41</f>
        <v>Изменение стоимости основных фондов за счет их переоценки</v>
      </c>
      <c r="G103" s="2077" t="s">
        <v>565</v>
      </c>
      <c r="H103" s="985"/>
      <c r="I103" s="566">
        <v>0</v>
      </c>
      <c r="J103" s="985">
        <v>0</v>
      </c>
      <c r="K103" s="985">
        <v>0</v>
      </c>
      <c r="L103" s="985">
        <v>0</v>
      </c>
      <c r="M103" s="298" t="str">
        <f>FHD_NOTE_P_41</f>
        <v/>
      </c>
      <c r="N103" s="552"/>
      <c r="O103" s="1645"/>
      <c r="P103" s="1645"/>
      <c r="U103" s="1645"/>
      <c r="X103" s="553"/>
      <c r="AD103" s="1641"/>
      <c r="AE103" s="1641"/>
      <c r="AF103" s="1641"/>
      <c r="AG103" s="1641"/>
      <c r="AH103" s="1641"/>
      <c r="AI103" s="1169">
        <v>19</v>
      </c>
    </row>
    <row s="1375" customFormat="1" customHeight="1" ht="20.25" hidden="1">
      <c r="A104" s="998" t="s">
        <v>598</v>
      </c>
      <c r="C104" s="1645"/>
      <c r="D104" s="1647"/>
      <c r="E104" s="555" t="str">
        <f>FHD_NUM_P_42</f>
        <v/>
      </c>
      <c r="F104" s="2079" t="str">
        <f>FHD_P_42</f>
        <v/>
      </c>
      <c r="G104" s="2077" t="s">
        <v>565</v>
      </c>
      <c r="H104" s="985"/>
      <c r="I104" s="566"/>
      <c r="J104" s="985"/>
      <c r="K104" s="985"/>
      <c r="L104" s="985"/>
      <c r="M104" s="298" t="str">
        <f>FHD_NOTE_P_42</f>
        <v/>
      </c>
      <c r="N104" s="552"/>
      <c r="O104" s="1645"/>
      <c r="P104" s="1645"/>
      <c r="U104" s="1645"/>
      <c r="X104" s="553"/>
      <c r="AD104" s="1641"/>
      <c r="AE104" s="1641"/>
      <c r="AF104" s="1641"/>
      <c r="AG104" s="1641"/>
      <c r="AH104" s="1641"/>
      <c r="AI104" s="1169">
        <v>19</v>
      </c>
    </row>
    <row s="1375" customFormat="1" customHeight="1" ht="20.25">
      <c r="A105" s="996"/>
      <c r="C105" s="1645" t="s">
        <v>599</v>
      </c>
      <c r="D105" s="1647"/>
      <c r="E105" s="555" t="str">
        <f>FHD_NUM_P_43</f>
        <v>6</v>
      </c>
      <c r="F105" s="1886" t="str">
        <f>FHD_P_43</f>
        <v>Годовая бухгалтерская (финансовая) отчетность, включая бухгалтерский баланс и приложения к нему</v>
      </c>
      <c r="G105" s="2080" t="s">
        <v>321</v>
      </c>
      <c r="H105" s="1064"/>
      <c r="I105" s="827" t="s">
        <v>600</v>
      </c>
      <c r="J105" s="1064" t="s">
        <v>600</v>
      </c>
      <c r="K105" s="1064" t="s">
        <v>600</v>
      </c>
      <c r="L105" s="1064" t="s">
        <v>600</v>
      </c>
      <c r="M105" s="298"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N105" s="552"/>
      <c r="O105" s="1645"/>
      <c r="P105" s="1645"/>
      <c r="U105" s="1645"/>
      <c r="X105" s="553"/>
      <c r="AD105" s="1641"/>
      <c r="AE105" s="1641"/>
      <c r="AF105" s="1641"/>
      <c r="AG105" s="1641"/>
      <c r="AH105" s="1641"/>
      <c r="AI105" s="1169">
        <v>19</v>
      </c>
    </row>
    <row s="1375" customFormat="1" customHeight="1" ht="18.75" hidden="1">
      <c r="A106" s="2399" t="s">
        <v>601</v>
      </c>
      <c r="C106" s="744"/>
      <c r="D106" s="742"/>
      <c r="E106" s="555" t="str">
        <f>FHD_NUM_P_44</f>
        <v/>
      </c>
      <c r="F106" s="1886" t="str">
        <f>FHD_P_44</f>
        <v/>
      </c>
      <c r="G106" s="1887" t="s">
        <v>602</v>
      </c>
      <c r="H106" s="986"/>
      <c r="I106" s="586"/>
      <c r="J106" s="986"/>
      <c r="K106" s="986"/>
      <c r="L106" s="986"/>
      <c r="M106" s="298" t="str">
        <f>FHD_NOTE_P_44</f>
        <v/>
      </c>
      <c r="N106" s="743"/>
      <c r="O106" s="744"/>
      <c r="P106" s="744"/>
      <c r="U106" s="744"/>
      <c r="X106" s="745"/>
      <c r="AD106" s="746"/>
      <c r="AE106" s="746"/>
      <c r="AF106" s="746"/>
      <c r="AG106" s="746"/>
      <c r="AH106" s="746"/>
      <c r="AI106" s="919">
        <v>0</v>
      </c>
    </row>
    <row s="1375" customFormat="1" customHeight="1" ht="18.75" hidden="1">
      <c r="A107" s="2399"/>
      <c r="C107" s="744"/>
      <c r="D107" s="742"/>
      <c r="E107" s="555" t="str">
        <f>FHD_NUM_P_45</f>
        <v/>
      </c>
      <c r="F107" s="1886" t="str">
        <f>FHD_P_45</f>
        <v/>
      </c>
      <c r="G107" s="1887" t="s">
        <v>602</v>
      </c>
      <c r="H107" s="986"/>
      <c r="I107" s="586"/>
      <c r="J107" s="986"/>
      <c r="K107" s="986"/>
      <c r="L107" s="986"/>
      <c r="M107" s="298" t="str">
        <f>FHD_NOTE_P_45</f>
        <v/>
      </c>
      <c r="N107" s="743"/>
      <c r="O107" s="744"/>
      <c r="P107" s="744"/>
      <c r="U107" s="744"/>
      <c r="X107" s="745"/>
      <c r="AD107" s="746"/>
      <c r="AE107" s="746"/>
      <c r="AF107" s="746"/>
      <c r="AG107" s="746"/>
      <c r="AH107" s="746"/>
      <c r="AI107" s="919">
        <v>0</v>
      </c>
    </row>
    <row s="1375" customFormat="1" customHeight="1" ht="18.75" hidden="1">
      <c r="A108" s="2399"/>
      <c r="C108" s="744"/>
      <c r="D108" s="747"/>
      <c r="E108" s="555" t="str">
        <f>FHD_NUM_P_46</f>
        <v/>
      </c>
      <c r="F108" s="1886" t="str">
        <f>FHD_P_46</f>
        <v/>
      </c>
      <c r="G108" s="1887" t="s">
        <v>602</v>
      </c>
      <c r="H108" s="986"/>
      <c r="I108" s="586"/>
      <c r="J108" s="986"/>
      <c r="K108" s="986"/>
      <c r="L108" s="986"/>
      <c r="M108" s="298" t="str">
        <f>FHD_NOTE_P_46</f>
        <v/>
      </c>
      <c r="N108" s="743"/>
      <c r="O108" s="744"/>
      <c r="P108" s="744"/>
      <c r="U108" s="744"/>
      <c r="X108" s="745"/>
      <c r="AD108" s="746"/>
      <c r="AE108" s="746"/>
      <c r="AF108" s="746"/>
      <c r="AG108" s="746"/>
      <c r="AH108" s="746"/>
      <c r="AI108" s="919">
        <v>0</v>
      </c>
    </row>
    <row s="1375" customFormat="1" customHeight="1" ht="18.75" hidden="1">
      <c r="A109" s="2399"/>
      <c r="C109" s="744"/>
      <c r="D109" s="742"/>
      <c r="E109" s="555" t="str">
        <f>FHD_NUM_P_47</f>
        <v/>
      </c>
      <c r="F109" s="1886" t="str">
        <f>FHD_P_47</f>
        <v/>
      </c>
      <c r="G109" s="1887" t="s">
        <v>602</v>
      </c>
      <c r="H109" s="986"/>
      <c r="I109" s="586"/>
      <c r="J109" s="986"/>
      <c r="K109" s="986"/>
      <c r="L109" s="986"/>
      <c r="M109" s="298" t="str">
        <f>FHD_NOTE_P_47</f>
        <v/>
      </c>
      <c r="N109" s="743"/>
      <c r="O109" s="744"/>
      <c r="P109" s="744"/>
      <c r="U109" s="744"/>
      <c r="X109" s="745"/>
      <c r="AD109" s="746"/>
      <c r="AE109" s="746"/>
      <c r="AF109" s="746"/>
      <c r="AG109" s="746"/>
      <c r="AH109" s="746"/>
      <c r="AI109" s="919">
        <v>0</v>
      </c>
    </row>
    <row s="1644" customFormat="1" customHeight="1" ht="18.75" hidden="1">
      <c r="A110" s="2399"/>
      <c r="B110" s="919"/>
      <c r="C110" s="744"/>
      <c r="D110" s="742"/>
      <c r="E110" s="555" t="str">
        <f>FHD_NUM_P_48</f>
        <v/>
      </c>
      <c r="F110" s="1886" t="str">
        <f>FHD_P_48</f>
        <v/>
      </c>
      <c r="G110" s="1887" t="s">
        <v>602</v>
      </c>
      <c r="H110" s="986"/>
      <c r="I110" s="586"/>
      <c r="J110" s="986"/>
      <c r="K110" s="986"/>
      <c r="L110" s="986"/>
      <c r="M110" s="298" t="str">
        <f>FHD_NOTE_P_48</f>
        <v/>
      </c>
      <c r="N110" s="743"/>
      <c r="O110" s="744"/>
      <c r="P110" s="744"/>
      <c r="Q110" s="919"/>
      <c r="R110" s="919"/>
      <c r="S110" s="919"/>
      <c r="T110" s="919"/>
      <c r="U110" s="744"/>
      <c r="V110" s="919"/>
      <c r="W110" s="919"/>
      <c r="X110" s="745"/>
      <c r="Y110" s="919"/>
      <c r="Z110" s="919"/>
      <c r="AA110" s="919"/>
      <c r="AB110" s="919"/>
      <c r="AC110" s="919"/>
      <c r="AD110" s="746"/>
      <c r="AE110" s="746"/>
      <c r="AF110" s="746"/>
      <c r="AG110" s="746"/>
      <c r="AH110" s="746"/>
      <c r="AI110" s="748">
        <v>0</v>
      </c>
    </row>
    <row s="1644" customFormat="1" customHeight="1" ht="18.75" hidden="1">
      <c r="A111" s="2399"/>
      <c r="B111" s="919"/>
      <c r="C111" s="744"/>
      <c r="D111" s="742"/>
      <c r="E111" s="555" t="str">
        <f>FHD_NUM_P_49</f>
        <v/>
      </c>
      <c r="F111" s="1886" t="str">
        <f>FHD_P_49</f>
        <v/>
      </c>
      <c r="G111" s="1887" t="s">
        <v>602</v>
      </c>
      <c r="H111" s="987">
        <f>SUM(H112:H113)</f>
        <v>0</v>
      </c>
      <c r="I111" s="758">
        <f>SUM(I112:I113)</f>
        <v>0</v>
      </c>
      <c r="J111" s="987">
        <f>SUM(J112:J113)</f>
        <v>0</v>
      </c>
      <c r="K111" s="987">
        <f>SUM(K112:K113)</f>
        <v>0</v>
      </c>
      <c r="L111" s="987">
        <f>SUM(L112:L113)</f>
        <v>0</v>
      </c>
      <c r="M111" s="298" t="str">
        <f>FHD_NOTE_P_49</f>
        <v/>
      </c>
      <c r="N111" s="743"/>
      <c r="O111" s="744"/>
      <c r="P111" s="744"/>
      <c r="Q111" s="919"/>
      <c r="R111" s="919"/>
      <c r="S111" s="919"/>
      <c r="T111" s="919"/>
      <c r="U111" s="744"/>
      <c r="V111" s="919"/>
      <c r="W111" s="919"/>
      <c r="X111" s="745"/>
      <c r="Y111" s="919"/>
      <c r="Z111" s="919"/>
      <c r="AA111" s="919"/>
      <c r="AB111" s="919"/>
      <c r="AC111" s="919"/>
      <c r="AD111" s="746"/>
      <c r="AE111" s="746"/>
      <c r="AF111" s="746"/>
      <c r="AG111" s="746"/>
      <c r="AH111" s="746"/>
      <c r="AI111" s="748">
        <v>0</v>
      </c>
    </row>
    <row s="1644" customFormat="1" customHeight="1" ht="18.75" hidden="1">
      <c r="A112" s="2399"/>
      <c r="B112" s="919"/>
      <c r="C112" s="744"/>
      <c r="D112" s="742"/>
      <c r="E112" s="555" t="str">
        <f>FHD_NUM_P_50</f>
        <v/>
      </c>
      <c r="F112" s="1886" t="str">
        <f>FHD_P_50</f>
        <v/>
      </c>
      <c r="G112" s="1887" t="s">
        <v>602</v>
      </c>
      <c r="H112" s="986"/>
      <c r="I112" s="586"/>
      <c r="J112" s="986"/>
      <c r="K112" s="986"/>
      <c r="L112" s="986"/>
      <c r="M112" s="298" t="str">
        <f>FHD_NOTE_P_50</f>
        <v/>
      </c>
      <c r="N112" s="743"/>
      <c r="O112" s="744"/>
      <c r="P112" s="744"/>
      <c r="Q112" s="919"/>
      <c r="R112" s="919"/>
      <c r="S112" s="919"/>
      <c r="T112" s="919"/>
      <c r="U112" s="744"/>
      <c r="V112" s="919"/>
      <c r="W112" s="919"/>
      <c r="X112" s="745"/>
      <c r="Y112" s="919"/>
      <c r="Z112" s="919"/>
      <c r="AA112" s="919"/>
      <c r="AB112" s="919"/>
      <c r="AC112" s="919"/>
      <c r="AD112" s="746"/>
      <c r="AE112" s="746"/>
      <c r="AF112" s="746"/>
      <c r="AG112" s="746"/>
      <c r="AH112" s="746"/>
      <c r="AI112" s="748">
        <v>0</v>
      </c>
    </row>
    <row s="1644" customFormat="1" customHeight="1" ht="18.75" hidden="1">
      <c r="A113" s="2399"/>
      <c r="B113" s="919"/>
      <c r="C113" s="744"/>
      <c r="D113" s="742"/>
      <c r="E113" s="555" t="str">
        <f>FHD_NUM_P_51</f>
        <v/>
      </c>
      <c r="F113" s="1886" t="str">
        <f>FHD_P_51</f>
        <v/>
      </c>
      <c r="G113" s="1887" t="s">
        <v>602</v>
      </c>
      <c r="H113" s="986"/>
      <c r="I113" s="586"/>
      <c r="J113" s="986"/>
      <c r="K113" s="986"/>
      <c r="L113" s="986"/>
      <c r="M113" s="298" t="str">
        <f>FHD_NOTE_P_51</f>
        <v/>
      </c>
      <c r="N113" s="743"/>
      <c r="O113" s="744"/>
      <c r="P113" s="744"/>
      <c r="Q113" s="919"/>
      <c r="R113" s="919"/>
      <c r="S113" s="919"/>
      <c r="T113" s="919"/>
      <c r="U113" s="744"/>
      <c r="V113" s="919"/>
      <c r="W113" s="919"/>
      <c r="X113" s="745"/>
      <c r="Y113" s="919"/>
      <c r="Z113" s="919"/>
      <c r="AA113" s="919"/>
      <c r="AB113" s="919"/>
      <c r="AC113" s="919"/>
      <c r="AD113" s="746"/>
      <c r="AE113" s="746"/>
      <c r="AF113" s="746"/>
      <c r="AG113" s="746"/>
      <c r="AH113" s="746"/>
      <c r="AI113" s="748">
        <v>0</v>
      </c>
    </row>
    <row s="1644" customFormat="1" customHeight="1" ht="18.75" hidden="1">
      <c r="A114" s="2399"/>
      <c r="B114" s="919"/>
      <c r="C114" s="744"/>
      <c r="D114" s="742"/>
      <c r="E114" s="555" t="str">
        <f>FHD_NUM_P_52</f>
        <v/>
      </c>
      <c r="F114" s="1886" t="str">
        <f>FHD_P_52</f>
        <v/>
      </c>
      <c r="G114" s="1887" t="s">
        <v>571</v>
      </c>
      <c r="H114" s="985"/>
      <c r="I114" s="566"/>
      <c r="J114" s="985"/>
      <c r="K114" s="985"/>
      <c r="L114" s="985"/>
      <c r="M114" s="298" t="str">
        <f>FHD_NOTE_P_52</f>
        <v/>
      </c>
      <c r="N114" s="743"/>
      <c r="O114" s="744"/>
      <c r="P114" s="744"/>
      <c r="Q114" s="919"/>
      <c r="R114" s="919"/>
      <c r="S114" s="919"/>
      <c r="T114" s="919"/>
      <c r="U114" s="744"/>
      <c r="V114" s="919"/>
      <c r="W114" s="919"/>
      <c r="X114" s="745"/>
      <c r="Y114" s="919"/>
      <c r="Z114" s="919"/>
      <c r="AA114" s="919"/>
      <c r="AB114" s="919"/>
      <c r="AC114" s="919"/>
      <c r="AD114" s="746"/>
      <c r="AE114" s="746"/>
      <c r="AF114" s="746"/>
      <c r="AG114" s="746"/>
      <c r="AH114" s="746"/>
      <c r="AI114" s="748">
        <v>0</v>
      </c>
    </row>
    <row s="1375" customFormat="1" customHeight="1" ht="18.75" hidden="1">
      <c r="A115" s="2401" t="s">
        <v>603</v>
      </c>
      <c r="C115" s="744"/>
      <c r="D115" s="742"/>
      <c r="E115" s="555" t="str">
        <f>FHD_NUM_P_53</f>
        <v/>
      </c>
      <c r="F115" s="1886" t="str">
        <f>FHD_P_53</f>
        <v/>
      </c>
      <c r="G115" s="1887" t="s">
        <v>602</v>
      </c>
      <c r="H115" s="986"/>
      <c r="I115" s="586"/>
      <c r="J115" s="986"/>
      <c r="K115" s="986"/>
      <c r="L115" s="986"/>
      <c r="M115" s="298" t="str">
        <f>FHD_NOTE_P_53</f>
        <v/>
      </c>
      <c r="N115" s="743"/>
      <c r="O115" s="744"/>
      <c r="P115" s="744"/>
      <c r="U115" s="744"/>
      <c r="X115" s="745"/>
      <c r="AD115" s="746"/>
      <c r="AE115" s="746"/>
      <c r="AF115" s="746"/>
      <c r="AG115" s="746"/>
      <c r="AH115" s="746"/>
      <c r="AI115" s="919">
        <v>0</v>
      </c>
    </row>
    <row s="1375" customFormat="1" customHeight="1" ht="18.75" hidden="1">
      <c r="A116" s="2401"/>
      <c r="C116" s="744"/>
      <c r="D116" s="742"/>
      <c r="E116" s="555" t="str">
        <f>FHD_NUM_P_54</f>
        <v/>
      </c>
      <c r="F116" s="1886" t="str">
        <f>FHD_P_54</f>
        <v/>
      </c>
      <c r="G116" s="1887" t="s">
        <v>602</v>
      </c>
      <c r="H116" s="986"/>
      <c r="I116" s="586"/>
      <c r="J116" s="986"/>
      <c r="K116" s="986"/>
      <c r="L116" s="986"/>
      <c r="M116" s="298" t="str">
        <f>FHD_NOTE_P_54</f>
        <v/>
      </c>
      <c r="N116" s="743"/>
      <c r="O116" s="744"/>
      <c r="P116" s="744"/>
      <c r="U116" s="744"/>
      <c r="X116" s="745"/>
      <c r="AD116" s="746"/>
      <c r="AE116" s="746"/>
      <c r="AF116" s="746"/>
      <c r="AG116" s="746"/>
      <c r="AH116" s="746"/>
      <c r="AI116" s="919">
        <v>0</v>
      </c>
    </row>
    <row s="1375" customFormat="1" customHeight="1" ht="18.75" hidden="1">
      <c r="A117" s="2401"/>
      <c r="C117" s="744"/>
      <c r="D117" s="747"/>
      <c r="E117" s="555" t="str">
        <f>FHD_NUM_P_55</f>
        <v/>
      </c>
      <c r="F117" s="1886" t="str">
        <f>FHD_P_55</f>
        <v/>
      </c>
      <c r="G117" s="1890"/>
      <c r="H117" s="986"/>
      <c r="I117" s="586"/>
      <c r="J117" s="986"/>
      <c r="K117" s="986"/>
      <c r="L117" s="986"/>
      <c r="M117" s="298" t="str">
        <f>FHD_NOTE_P_55</f>
        <v/>
      </c>
      <c r="N117" s="743"/>
      <c r="O117" s="744"/>
      <c r="P117" s="744"/>
      <c r="U117" s="744"/>
      <c r="X117" s="745"/>
      <c r="AD117" s="746"/>
      <c r="AE117" s="746"/>
      <c r="AF117" s="746"/>
      <c r="AG117" s="746"/>
      <c r="AH117" s="746"/>
      <c r="AI117" s="919">
        <v>0</v>
      </c>
    </row>
    <row s="1375" customFormat="1" customHeight="1" ht="18.75" hidden="1">
      <c r="A118" s="2401"/>
      <c r="C118" s="744"/>
      <c r="D118" s="742"/>
      <c r="E118" s="555" t="str">
        <f>FHD_NUM_P_56</f>
        <v/>
      </c>
      <c r="F118" s="1886" t="str">
        <f>FHD_P_56</f>
        <v/>
      </c>
      <c r="G118" s="1887" t="s">
        <v>604</v>
      </c>
      <c r="H118" s="986"/>
      <c r="I118" s="586"/>
      <c r="J118" s="986"/>
      <c r="K118" s="986"/>
      <c r="L118" s="986"/>
      <c r="M118" s="298" t="str">
        <f>FHD_NOTE_P_56</f>
        <v/>
      </c>
      <c r="N118" s="743"/>
      <c r="O118" s="744"/>
      <c r="P118" s="744"/>
      <c r="U118" s="744"/>
      <c r="X118" s="745"/>
      <c r="AD118" s="746"/>
      <c r="AE118" s="746"/>
      <c r="AF118" s="746"/>
      <c r="AG118" s="746"/>
      <c r="AH118" s="746"/>
      <c r="AI118" s="919">
        <v>0</v>
      </c>
    </row>
    <row s="1644" customFormat="1" customHeight="1" ht="18.75" hidden="1">
      <c r="A119" s="2401"/>
      <c r="B119" s="919"/>
      <c r="C119" s="744"/>
      <c r="D119" s="742"/>
      <c r="E119" s="555" t="str">
        <f>FHD_NUM_P_57</f>
        <v/>
      </c>
      <c r="F119" s="1886" t="str">
        <f>FHD_P_57</f>
        <v/>
      </c>
      <c r="G119" s="1887" t="s">
        <v>571</v>
      </c>
      <c r="H119" s="985"/>
      <c r="I119" s="566"/>
      <c r="J119" s="985"/>
      <c r="K119" s="985"/>
      <c r="L119" s="985"/>
      <c r="M119" s="298" t="str">
        <f>FHD_NOTE_P_57</f>
        <v/>
      </c>
      <c r="N119" s="743"/>
      <c r="O119" s="744"/>
      <c r="P119" s="744"/>
      <c r="Q119" s="919"/>
      <c r="R119" s="919"/>
      <c r="S119" s="919"/>
      <c r="T119" s="919"/>
      <c r="U119" s="744"/>
      <c r="V119" s="919"/>
      <c r="W119" s="919"/>
      <c r="X119" s="745"/>
      <c r="Y119" s="919"/>
      <c r="Z119" s="919"/>
      <c r="AA119" s="919"/>
      <c r="AB119" s="919"/>
      <c r="AC119" s="919"/>
      <c r="AD119" s="746"/>
      <c r="AE119" s="746"/>
      <c r="AF119" s="746"/>
      <c r="AG119" s="746"/>
      <c r="AH119" s="746"/>
      <c r="AI119" s="748">
        <v>0</v>
      </c>
    </row>
    <row customHeight="1" ht="18.75" hidden="1">
      <c r="A120" s="2399" t="s">
        <v>605</v>
      </c>
      <c r="D120" s="1647"/>
      <c r="E120" s="555" t="str">
        <f>FHD_NUM_P_58</f>
        <v/>
      </c>
      <c r="F120" s="1886" t="str">
        <f>FHD_P_58</f>
        <v/>
      </c>
      <c r="G120" s="1887" t="s">
        <v>602</v>
      </c>
      <c r="H120" s="986"/>
      <c r="I120" s="586"/>
      <c r="J120" s="986"/>
      <c r="K120" s="986"/>
      <c r="L120" s="986"/>
      <c r="M120" s="298" t="str">
        <f>FHD_NOTE_P_58</f>
        <v/>
      </c>
      <c r="N120" s="552"/>
      <c r="AI120" s="1640">
        <v>0</v>
      </c>
    </row>
    <row customHeight="1" ht="18.75" hidden="1">
      <c r="A121" s="2399"/>
      <c r="D121" s="1647"/>
      <c r="E121" s="555" t="str">
        <f>FHD_NUM_P_59</f>
        <v/>
      </c>
      <c r="F121" s="1886" t="str">
        <f>FHD_P_59</f>
        <v/>
      </c>
      <c r="G121" s="1887" t="s">
        <v>602</v>
      </c>
      <c r="H121" s="986"/>
      <c r="I121" s="586"/>
      <c r="J121" s="986"/>
      <c r="K121" s="986"/>
      <c r="L121" s="986"/>
      <c r="M121" s="298" t="str">
        <f>FHD_NOTE_P_59</f>
        <v/>
      </c>
      <c r="N121" s="552"/>
      <c r="AI121" s="1640">
        <v>0</v>
      </c>
    </row>
    <row customHeight="1" ht="18.75" hidden="1">
      <c r="A122" s="2399"/>
      <c r="D122" s="1647"/>
      <c r="E122" s="555" t="str">
        <f>FHD_NUM_P_60</f>
        <v/>
      </c>
      <c r="F122" s="1886" t="str">
        <f>FHD_P_60</f>
        <v/>
      </c>
      <c r="G122" s="1887" t="s">
        <v>602</v>
      </c>
      <c r="H122" s="986"/>
      <c r="I122" s="586"/>
      <c r="J122" s="986"/>
      <c r="K122" s="986"/>
      <c r="L122" s="986"/>
      <c r="M122" s="298" t="str">
        <f>FHD_NOTE_P_60</f>
        <v/>
      </c>
      <c r="N122" s="552"/>
      <c r="AI122" s="1640">
        <v>0</v>
      </c>
    </row>
    <row s="1375" customFormat="1" customHeight="1" ht="44.25">
      <c r="A123" s="2399" t="s">
        <v>606</v>
      </c>
      <c r="C123" s="1645"/>
      <c r="D123" s="1647"/>
      <c r="E123" s="555" t="str">
        <f>FHD_NUM_P_61</f>
        <v>7</v>
      </c>
      <c r="F123" s="188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23" s="1884" t="s">
        <v>569</v>
      </c>
      <c r="H123" s="988"/>
      <c r="I123" s="751">
        <v>300</v>
      </c>
      <c r="J123" s="988">
        <v>160</v>
      </c>
      <c r="K123" s="988">
        <v>1337</v>
      </c>
      <c r="L123" s="988">
        <v>0</v>
      </c>
      <c r="M123" s="298"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N123" s="552"/>
      <c r="O123" s="1645"/>
      <c r="P123" s="1645"/>
      <c r="U123" s="1645"/>
      <c r="X123" s="553"/>
      <c r="AD123" s="1641"/>
      <c r="AE123" s="1641"/>
      <c r="AF123" s="1641"/>
      <c r="AG123" s="1641"/>
      <c r="AH123" s="1641"/>
      <c r="AI123" s="1169">
        <v>0</v>
      </c>
    </row>
    <row s="1651" customFormat="1" customHeight="1" ht="1.5">
      <c r="A124" s="2399"/>
      <c r="D124" s="557"/>
      <c r="E124" s="1022" t="str">
        <f>E123&amp;".0"</f>
        <v>7.0</v>
      </c>
      <c r="F124" s="1003"/>
      <c r="G124" s="1004"/>
      <c r="H124" s="1001"/>
      <c r="I124" s="1001"/>
      <c r="J124" s="1001"/>
      <c r="K124" s="1001"/>
      <c r="L124" s="1001"/>
      <c r="M124" s="1005"/>
      <c r="AI124" s="1645">
        <v>0</v>
      </c>
    </row>
    <row customHeight="1" ht="15">
      <c r="A125" s="2399"/>
      <c r="D125" s="1642"/>
      <c r="E125" s="980"/>
      <c r="F125" s="981" t="s">
        <v>607</v>
      </c>
      <c r="G125" s="581"/>
      <c r="H125" s="582"/>
      <c r="I125" s="582"/>
      <c r="J125" s="2673"/>
      <c r="K125" s="2674"/>
      <c r="L125" s="2675"/>
      <c r="M125" s="1013" t="s">
        <v>608</v>
      </c>
      <c r="N125" s="552"/>
      <c r="AI125" s="1640">
        <v>0</v>
      </c>
    </row>
    <row s="1375" customFormat="1" customHeight="1" ht="18.75">
      <c r="A126" s="2399"/>
      <c r="C126" s="1645"/>
      <c r="D126" s="1647"/>
      <c r="E126" s="555" t="str">
        <f>FHD_NUM_P_62</f>
        <v>8</v>
      </c>
      <c r="F126" s="1886" t="str">
        <f>FHD_P_62</f>
        <v>Тепловая нагрузка по договорам, заключенным в рамках осуществления регулируемых видов деятельности</v>
      </c>
      <c r="G126" s="1883" t="s">
        <v>569</v>
      </c>
      <c r="H126" s="566"/>
      <c r="I126" s="566">
        <v>191.42</v>
      </c>
      <c r="J126" s="566">
        <v>64.16</v>
      </c>
      <c r="K126" s="566">
        <v>2282.812</v>
      </c>
      <c r="L126" s="566">
        <v>0</v>
      </c>
      <c r="M126" s="298" t="str">
        <f>FHD_NOTE_P_62</f>
        <v>Регулируемыми организациями указывается информация по договорам, заключенным в рамках осуществления регулируемых видов деятельности</v>
      </c>
      <c r="N126" s="552"/>
      <c r="O126" s="1645"/>
      <c r="P126" s="1645"/>
      <c r="U126" s="1645"/>
      <c r="X126" s="553"/>
      <c r="AD126" s="1641"/>
      <c r="AE126" s="1641"/>
      <c r="AF126" s="1641"/>
      <c r="AG126" s="1641"/>
      <c r="AH126" s="1641"/>
      <c r="AI126" s="1169">
        <v>0</v>
      </c>
    </row>
    <row s="1375" customFormat="1" customHeight="1" ht="42">
      <c r="A127" s="2399"/>
      <c r="C127" s="1645"/>
      <c r="D127" s="1647"/>
      <c r="E127" s="555" t="str">
        <f>FHD_NUM_P_63</f>
        <v>9</v>
      </c>
      <c r="F127" s="1886" t="str">
        <f>FHD_P_63</f>
        <v>Объем вырабатываемой регулируемой организацией тепловой энергии в рамках осуществления регулируемых видов деятельности</v>
      </c>
      <c r="G127" s="1883" t="s">
        <v>604</v>
      </c>
      <c r="H127" s="586"/>
      <c r="I127" s="586">
        <v>598.847</v>
      </c>
      <c r="J127" s="586">
        <v>162.086</v>
      </c>
      <c r="K127" s="586">
        <v>2356.586</v>
      </c>
      <c r="L127" s="586">
        <v>0</v>
      </c>
      <c r="M127" s="29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N127" s="552"/>
      <c r="O127" s="1645"/>
      <c r="P127" s="1645"/>
      <c r="U127" s="1645"/>
      <c r="X127" s="553"/>
      <c r="AD127" s="1641"/>
      <c r="AE127" s="1641"/>
      <c r="AF127" s="1641"/>
      <c r="AG127" s="1641"/>
      <c r="AH127" s="1641"/>
      <c r="AI127" s="1169">
        <v>0</v>
      </c>
    </row>
    <row s="1375" customFormat="1" customHeight="1" ht="33">
      <c r="A128" s="2399"/>
      <c r="C128" s="1645"/>
      <c r="D128" s="1647"/>
      <c r="E128" s="555" t="str">
        <f>FHD_NUM_P_64</f>
        <v>9.1</v>
      </c>
      <c r="F128" s="1886" t="str">
        <f>FHD_P_64</f>
        <v>Объем приобретаемой регулируемой организацией тепловой энергии в рамках осуществления регулируемых видов деятельности</v>
      </c>
      <c r="G128" s="1883" t="s">
        <v>604</v>
      </c>
      <c r="H128" s="1416"/>
      <c r="I128" s="760"/>
      <c r="J128" s="1416"/>
      <c r="K128" s="1416">
        <v>1524.74</v>
      </c>
      <c r="L128" s="1416"/>
      <c r="M128" s="298" t="str">
        <f>FHD_NOTE_P_64</f>
        <v>Информация указывается только едиными теплоснабжающими организациями.</v>
      </c>
      <c r="N128" s="552"/>
      <c r="O128" s="1645"/>
      <c r="P128" s="1645"/>
      <c r="U128" s="1645"/>
      <c r="X128" s="553"/>
      <c r="AD128" s="1641"/>
      <c r="AE128" s="1641"/>
      <c r="AF128" s="1641"/>
      <c r="AG128" s="1641"/>
      <c r="AH128" s="1641"/>
      <c r="AI128" s="1169">
        <v>0</v>
      </c>
    </row>
    <row s="1375" customFormat="1" customHeight="1" ht="38.25">
      <c r="A129" s="2399"/>
      <c r="C129" s="1645"/>
      <c r="D129" s="1647"/>
      <c r="E129" s="555" t="str">
        <f>FHD_NUM_P_65</f>
        <v>10</v>
      </c>
      <c r="F129" s="188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29" s="1883" t="s">
        <v>604</v>
      </c>
      <c r="H129" s="586"/>
      <c r="I129" s="586">
        <v>389.29</v>
      </c>
      <c r="J129" s="586">
        <v>79.47</v>
      </c>
      <c r="K129" s="586">
        <v>3403.6</v>
      </c>
      <c r="L129" s="586">
        <v>0</v>
      </c>
      <c r="M129" s="298"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N129" s="552"/>
      <c r="O129" s="1645"/>
      <c r="P129" s="1645"/>
      <c r="U129" s="1645"/>
      <c r="X129" s="553"/>
      <c r="AD129" s="1641"/>
      <c r="AE129" s="1641"/>
      <c r="AF129" s="1641"/>
      <c r="AG129" s="1641"/>
      <c r="AH129" s="1641"/>
      <c r="AI129" s="1169">
        <v>0</v>
      </c>
    </row>
    <row s="1375" customFormat="1" customHeight="1" ht="18.75">
      <c r="A130" s="2399"/>
      <c r="C130" s="1645"/>
      <c r="D130" s="1647"/>
      <c r="E130" s="555" t="str">
        <f>FHD_NUM_P_66</f>
        <v>10.1</v>
      </c>
      <c r="F130" s="1533" t="str">
        <f>FHD_P_66</f>
        <v>По приборам учёта </v>
      </c>
      <c r="G130" s="1883" t="s">
        <v>604</v>
      </c>
      <c r="H130" s="586"/>
      <c r="I130" s="586">
        <v>282.52</v>
      </c>
      <c r="J130" s="586">
        <v>54.02</v>
      </c>
      <c r="K130" s="586">
        <v>2067.44</v>
      </c>
      <c r="L130" s="586">
        <v>0</v>
      </c>
      <c r="M130" s="298" t="str">
        <f>FHD_NOTE_P_66</f>
        <v/>
      </c>
      <c r="N130" s="552"/>
      <c r="O130" s="1645"/>
      <c r="P130" s="1645"/>
      <c r="U130" s="1645"/>
      <c r="X130" s="553"/>
      <c r="AD130" s="1641"/>
      <c r="AE130" s="1641"/>
      <c r="AF130" s="1641"/>
      <c r="AG130" s="1641"/>
      <c r="AH130" s="1641"/>
      <c r="AI130" s="1169">
        <v>0</v>
      </c>
    </row>
    <row s="1375" customFormat="1" customHeight="1" ht="18.75">
      <c r="A131" s="2399"/>
      <c r="C131" s="1645"/>
      <c r="D131" s="1647"/>
      <c r="E131" s="555" t="str">
        <f>FHD_NUM_P_67</f>
        <v>10.1.1</v>
      </c>
      <c r="F131" s="165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31" s="1883" t="s">
        <v>604</v>
      </c>
      <c r="H131" s="586"/>
      <c r="I131" s="586">
        <v>0</v>
      </c>
      <c r="J131" s="586">
        <v>0</v>
      </c>
      <c r="K131" s="586">
        <v>0</v>
      </c>
      <c r="L131" s="586">
        <v>0</v>
      </c>
      <c r="M131" s="298" t="str">
        <f>FHD_NOTE_P_67</f>
        <v/>
      </c>
      <c r="N131" s="552"/>
      <c r="O131" s="1645"/>
      <c r="P131" s="1645"/>
      <c r="U131" s="1645"/>
      <c r="X131" s="553"/>
      <c r="AD131" s="1641"/>
      <c r="AE131" s="1641"/>
      <c r="AF131" s="1641"/>
      <c r="AG131" s="1641"/>
      <c r="AH131" s="1641"/>
      <c r="AI131" s="1169">
        <v>0</v>
      </c>
    </row>
    <row s="1375" customFormat="1" customHeight="1" ht="18.75">
      <c r="A132" s="2399"/>
      <c r="C132" s="1645"/>
      <c r="D132" s="1647"/>
      <c r="E132" s="555" t="str">
        <f>FHD_NUM_P_68</f>
        <v>10.2</v>
      </c>
      <c r="F132" s="1533" t="str">
        <f>FHD_P_68</f>
        <v>Расчётным путём</v>
      </c>
      <c r="G132" s="1883" t="s">
        <v>604</v>
      </c>
      <c r="H132" s="586"/>
      <c r="I132" s="586">
        <v>14.99</v>
      </c>
      <c r="J132" s="586">
        <v>2.72</v>
      </c>
      <c r="K132" s="586">
        <v>691.14</v>
      </c>
      <c r="L132" s="586">
        <v>0</v>
      </c>
      <c r="M132" s="298" t="str">
        <f>FHD_NOTE_P_68</f>
        <v/>
      </c>
      <c r="N132" s="552"/>
      <c r="O132" s="1645"/>
      <c r="P132" s="1645"/>
      <c r="U132" s="1645"/>
      <c r="X132" s="553"/>
      <c r="AD132" s="1641"/>
      <c r="AE132" s="1641"/>
      <c r="AF132" s="1641"/>
      <c r="AG132" s="1641"/>
      <c r="AH132" s="1641"/>
      <c r="AI132" s="1169">
        <v>0</v>
      </c>
    </row>
    <row s="1375" customFormat="1" customHeight="1" ht="18.75">
      <c r="A133" s="2399"/>
      <c r="C133" s="1645"/>
      <c r="D133" s="1647"/>
      <c r="E133" s="555" t="str">
        <f>FHD_NUM_P_69</f>
        <v>10.3</v>
      </c>
      <c r="F133" s="1533" t="str">
        <f>FHD_P_69</f>
        <v>По нормативам потребления коммунальных услуг и нормативам потребления коммунальных ресурсов</v>
      </c>
      <c r="G133" s="1883" t="s">
        <v>604</v>
      </c>
      <c r="H133" s="586"/>
      <c r="I133" s="586">
        <v>91.78</v>
      </c>
      <c r="J133" s="586">
        <v>22.73</v>
      </c>
      <c r="K133" s="586">
        <v>645.01</v>
      </c>
      <c r="L133" s="586">
        <v>0</v>
      </c>
      <c r="M133" s="298" t="str">
        <f>FHD_NOTE_P_69</f>
        <v/>
      </c>
      <c r="N133" s="552"/>
      <c r="O133" s="1645"/>
      <c r="P133" s="1645"/>
      <c r="U133" s="1645"/>
      <c r="X133" s="553"/>
      <c r="AD133" s="1641"/>
      <c r="AE133" s="1641"/>
      <c r="AF133" s="1641"/>
      <c r="AG133" s="1641"/>
      <c r="AH133" s="1641"/>
      <c r="AI133" s="1169">
        <v>0</v>
      </c>
    </row>
    <row s="1375" customFormat="1" customHeight="1" ht="40.5">
      <c r="A134" s="2399"/>
      <c r="C134" s="1645"/>
      <c r="D134" s="1647"/>
      <c r="E134" s="555" t="str">
        <f>FHD_NUM_P_70</f>
        <v>11</v>
      </c>
      <c r="F134" s="1886" t="str">
        <f>FHD_P_70</f>
        <v>Нормативы технологических потерь при передаче тепловой энергии, теплоносителя по тепловым сетям, утвержденные уполномоченным органом</v>
      </c>
      <c r="G134" s="1883" t="s">
        <v>609</v>
      </c>
      <c r="H134" s="566"/>
      <c r="I134" s="566">
        <v>197.77</v>
      </c>
      <c r="J134" s="566">
        <v>54.46</v>
      </c>
      <c r="K134" s="566">
        <v>837.38</v>
      </c>
      <c r="L134" s="566">
        <v>0</v>
      </c>
      <c r="M134" s="298" t="str">
        <f>FHD_NOTE_P_70</f>
        <v/>
      </c>
      <c r="N134" s="552"/>
      <c r="O134" s="1645"/>
      <c r="P134" s="1645"/>
      <c r="U134" s="1645"/>
      <c r="X134" s="553"/>
      <c r="AD134" s="1641"/>
      <c r="AE134" s="1641"/>
      <c r="AF134" s="1641"/>
      <c r="AG134" s="1641"/>
      <c r="AH134" s="1641"/>
      <c r="AI134" s="1169">
        <v>0</v>
      </c>
    </row>
    <row s="1375" customFormat="1" customHeight="1" ht="47.25">
      <c r="A135" s="2399"/>
      <c r="C135" s="1645"/>
      <c r="D135" s="1647"/>
      <c r="E135" s="555" t="str">
        <f>FHD_NUM_P_71</f>
        <v>12</v>
      </c>
      <c r="F135" s="1886" t="str">
        <f>FHD_P_71</f>
        <v>Фактический объем потерь при передаче тепловой энергии</v>
      </c>
      <c r="G135" s="1883" t="s">
        <v>609</v>
      </c>
      <c r="H135" s="566"/>
      <c r="I135" s="566">
        <v>206.11</v>
      </c>
      <c r="J135" s="566">
        <v>80.36</v>
      </c>
      <c r="K135" s="566">
        <v>1051.27</v>
      </c>
      <c r="L135" s="566">
        <v>0</v>
      </c>
      <c r="M135" s="298" t="str">
        <f>FHD_NOTE_P_71</f>
        <v/>
      </c>
      <c r="N135" s="552"/>
      <c r="O135" s="1645"/>
      <c r="P135" s="1645"/>
      <c r="U135" s="1645"/>
      <c r="X135" s="553"/>
      <c r="AD135" s="1641"/>
      <c r="AE135" s="1641"/>
      <c r="AF135" s="1641"/>
      <c r="AG135" s="1641"/>
      <c r="AH135" s="1641"/>
      <c r="AI135" s="1169">
        <v>0</v>
      </c>
    </row>
    <row customHeight="1" ht="20.25">
      <c r="D136" s="1647"/>
      <c r="E136" s="555" t="str">
        <f>FHD_NUM_P_72</f>
        <v>13</v>
      </c>
      <c r="F136" s="1886" t="str">
        <f>FHD_P_72</f>
        <v>Среднесписочная численность основного производственного персонала</v>
      </c>
      <c r="G136" s="1882" t="s">
        <v>610</v>
      </c>
      <c r="H136" s="586"/>
      <c r="I136" s="586">
        <v>79.5652</v>
      </c>
      <c r="J136" s="586">
        <v>49.6769</v>
      </c>
      <c r="K136" s="586">
        <v>187.0549</v>
      </c>
      <c r="L136" s="586">
        <v>0</v>
      </c>
      <c r="M136" s="298" t="str">
        <f>FHD_NOTE_P_72</f>
        <v/>
      </c>
      <c r="N136" s="552"/>
      <c r="AI136" s="1640">
        <v>19</v>
      </c>
    </row>
    <row customHeight="1" ht="18.75">
      <c r="A137" s="998" t="s">
        <v>611</v>
      </c>
      <c r="D137" s="1647"/>
      <c r="E137" s="555" t="str">
        <f>FHD_NUM_P_73</f>
        <v>14</v>
      </c>
      <c r="F137" s="1886" t="str">
        <f>FHD_P_73</f>
        <v>Среднесписочная численность административно-управленческого персонала</v>
      </c>
      <c r="G137" s="979" t="s">
        <v>610</v>
      </c>
      <c r="H137" s="977"/>
      <c r="I137" s="977">
        <v>5.3212</v>
      </c>
      <c r="J137" s="977">
        <v>2.6019</v>
      </c>
      <c r="K137" s="977">
        <v>36.0986</v>
      </c>
      <c r="L137" s="977">
        <v>0.0032</v>
      </c>
      <c r="M137" s="298" t="str">
        <f>FHD_NOTE_P_73</f>
        <v/>
      </c>
      <c r="N137" s="552"/>
      <c r="AI137" s="1640">
        <v>0</v>
      </c>
    </row>
    <row customHeight="1" ht="33.75" hidden="1">
      <c r="A138" s="998" t="s">
        <v>612</v>
      </c>
      <c r="D138" s="1647"/>
      <c r="E138" s="555" t="str">
        <f>FHD_NUM_P_74</f>
        <v/>
      </c>
      <c r="F138" s="1886" t="str">
        <f>FHD_P_74</f>
        <v/>
      </c>
      <c r="G138" s="1882" t="s">
        <v>613</v>
      </c>
      <c r="H138" s="586"/>
      <c r="I138" s="586"/>
      <c r="J138" s="586"/>
      <c r="K138" s="586"/>
      <c r="L138" s="586"/>
      <c r="M138" s="298" t="str">
        <f>FHD_NOTE_P_74</f>
        <v/>
      </c>
      <c r="N138" s="552"/>
      <c r="AI138" s="1640">
        <v>0</v>
      </c>
    </row>
    <row s="1644" customFormat="1" customHeight="1" ht="18.75" hidden="1">
      <c r="A139" s="2401" t="s">
        <v>614</v>
      </c>
      <c r="B139" s="919"/>
      <c r="C139" s="744"/>
      <c r="D139" s="742"/>
      <c r="E139" s="555" t="str">
        <f>FHD_NUM_P_75</f>
        <v/>
      </c>
      <c r="F139" s="1886" t="str">
        <f>FHD_P_75</f>
        <v/>
      </c>
      <c r="G139" s="1882" t="s">
        <v>571</v>
      </c>
      <c r="H139" s="566"/>
      <c r="I139" s="566"/>
      <c r="J139" s="566"/>
      <c r="K139" s="566"/>
      <c r="L139" s="566"/>
      <c r="M139" s="298" t="str">
        <f>FHD_NOTE_P_75</f>
        <v/>
      </c>
      <c r="N139" s="743"/>
      <c r="O139" s="744"/>
      <c r="P139" s="744"/>
      <c r="Q139" s="919"/>
      <c r="R139" s="919"/>
      <c r="S139" s="919"/>
      <c r="T139" s="919"/>
      <c r="U139" s="744"/>
      <c r="V139" s="919"/>
      <c r="W139" s="919"/>
      <c r="X139" s="745"/>
      <c r="Y139" s="919"/>
      <c r="Z139" s="919"/>
      <c r="AA139" s="919"/>
      <c r="AB139" s="919"/>
      <c r="AC139" s="919"/>
      <c r="AD139" s="746"/>
      <c r="AE139" s="746"/>
      <c r="AF139" s="746"/>
      <c r="AG139" s="746"/>
      <c r="AH139" s="746"/>
      <c r="AI139" s="748">
        <v>0</v>
      </c>
    </row>
    <row s="1644" customFormat="1" customHeight="1" ht="18.75" hidden="1">
      <c r="A140" s="2401"/>
      <c r="B140" s="919"/>
      <c r="C140" s="744"/>
      <c r="D140" s="742"/>
      <c r="E140" s="555" t="str">
        <f>FHD_NUM_P_76</f>
        <v/>
      </c>
      <c r="F140" s="1886" t="str">
        <f>FHD_P_76</f>
        <v/>
      </c>
      <c r="G140" s="1882" t="s">
        <v>571</v>
      </c>
      <c r="H140" s="566"/>
      <c r="I140" s="566"/>
      <c r="J140" s="566"/>
      <c r="K140" s="566"/>
      <c r="L140" s="566"/>
      <c r="M140" s="298" t="str">
        <f>FHD_NOTE_P_76</f>
        <v/>
      </c>
      <c r="N140" s="743"/>
      <c r="O140" s="744"/>
      <c r="P140" s="744"/>
      <c r="Q140" s="919"/>
      <c r="R140" s="919"/>
      <c r="S140" s="919"/>
      <c r="T140" s="919"/>
      <c r="U140" s="744"/>
      <c r="V140" s="919"/>
      <c r="W140" s="919"/>
      <c r="X140" s="745"/>
      <c r="Y140" s="919"/>
      <c r="Z140" s="919"/>
      <c r="AA140" s="919"/>
      <c r="AB140" s="919"/>
      <c r="AC140" s="919"/>
      <c r="AD140" s="746"/>
      <c r="AE140" s="746"/>
      <c r="AF140" s="746"/>
      <c r="AG140" s="746"/>
      <c r="AH140" s="746"/>
      <c r="AI140" s="748">
        <v>0</v>
      </c>
    </row>
    <row s="1644" customFormat="1" customHeight="1" ht="18.75" hidden="1">
      <c r="A141" s="2401"/>
      <c r="B141" s="919"/>
      <c r="C141" s="744"/>
      <c r="D141" s="742"/>
      <c r="E141" s="555" t="str">
        <f>FHD_NUM_P_77</f>
        <v/>
      </c>
      <c r="F141" s="1886" t="str">
        <f>FHD_P_77</f>
        <v/>
      </c>
      <c r="G141" s="1882" t="s">
        <v>571</v>
      </c>
      <c r="H141" s="566"/>
      <c r="I141" s="566"/>
      <c r="J141" s="566"/>
      <c r="K141" s="566"/>
      <c r="L141" s="566"/>
      <c r="M141" s="298" t="str">
        <f>FHD_NOTE_P_77</f>
        <v/>
      </c>
      <c r="N141" s="743"/>
      <c r="O141" s="744"/>
      <c r="P141" s="744"/>
      <c r="Q141" s="919"/>
      <c r="R141" s="919"/>
      <c r="S141" s="919"/>
      <c r="T141" s="919"/>
      <c r="U141" s="744"/>
      <c r="V141" s="919"/>
      <c r="W141" s="919"/>
      <c r="X141" s="745"/>
      <c r="Y141" s="919"/>
      <c r="Z141" s="919"/>
      <c r="AA141" s="919"/>
      <c r="AB141" s="919"/>
      <c r="AC141" s="919"/>
      <c r="AD141" s="746"/>
      <c r="AE141" s="746"/>
      <c r="AF141" s="746"/>
      <c r="AG141" s="746"/>
      <c r="AH141" s="746"/>
      <c r="AI141" s="748">
        <v>0</v>
      </c>
    </row>
    <row s="1651" customFormat="1" customHeight="1" ht="0.75" hidden="1">
      <c r="A142" s="2401"/>
      <c r="D142" s="557"/>
      <c r="E142" s="1022" t="str">
        <f>E141&amp;".0"</f>
        <v>.0</v>
      </c>
      <c r="F142" s="1006"/>
      <c r="G142" s="1660"/>
      <c r="H142" s="1001"/>
      <c r="I142" s="1001"/>
      <c r="J142" s="1001"/>
      <c r="K142" s="1001"/>
      <c r="L142" s="1001"/>
      <c r="M142" s="1005"/>
      <c r="AI142" s="1645">
        <v>0</v>
      </c>
    </row>
    <row s="1644" customFormat="1" customHeight="1" ht="15" hidden="1">
      <c r="A143" s="2401"/>
      <c r="B143" s="919"/>
      <c r="C143" s="744"/>
      <c r="D143" s="755"/>
      <c r="E143" s="982"/>
      <c r="F143" s="983" t="s">
        <v>615</v>
      </c>
      <c r="G143" s="756"/>
      <c r="H143" s="757"/>
      <c r="I143" s="757"/>
      <c r="J143" s="2676"/>
      <c r="K143" s="2677"/>
      <c r="L143" s="2678"/>
      <c r="M143" s="1012" t="s">
        <v>616</v>
      </c>
      <c r="N143" s="743"/>
      <c r="O143" s="744"/>
      <c r="P143" s="744"/>
      <c r="Q143" s="919"/>
      <c r="R143" s="919"/>
      <c r="S143" s="919"/>
      <c r="T143" s="919"/>
      <c r="U143" s="744"/>
      <c r="V143" s="919"/>
      <c r="W143" s="919"/>
      <c r="X143" s="745"/>
      <c r="Y143" s="919"/>
      <c r="Z143" s="919"/>
      <c r="AA143" s="919"/>
      <c r="AB143" s="919"/>
      <c r="AC143" s="919"/>
      <c r="AD143" s="746"/>
      <c r="AE143" s="746"/>
      <c r="AF143" s="746"/>
      <c r="AG143" s="746"/>
      <c r="AH143" s="746"/>
      <c r="AI143" s="748">
        <v>0</v>
      </c>
    </row>
    <row customHeight="1" ht="22.5">
      <c r="A144" s="2399" t="s">
        <v>617</v>
      </c>
      <c r="D144" s="1647"/>
      <c r="E144" s="555" t="str">
        <f>FHD_NUM_P_78</f>
        <v>15</v>
      </c>
      <c r="F144" s="188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4" s="1883" t="s">
        <v>573</v>
      </c>
      <c r="H144" s="586"/>
      <c r="I144" s="586">
        <v>165.6</v>
      </c>
      <c r="J144" s="586">
        <v>180.1</v>
      </c>
      <c r="K144" s="586">
        <v>152.2231</v>
      </c>
      <c r="L144" s="586">
        <v>0</v>
      </c>
      <c r="M144" s="298" t="str">
        <f>FHD_NOTE_P_78</f>
        <v/>
      </c>
      <c r="N144" s="552"/>
      <c r="AI144" s="1640">
        <v>0</v>
      </c>
    </row>
    <row s="1651" customFormat="1" customHeight="1" ht="0.75">
      <c r="A145" s="2399"/>
      <c r="D145" s="557"/>
      <c r="E145" s="1022" t="str">
        <f>E144&amp;".0"</f>
        <v>15.0</v>
      </c>
      <c r="F145" s="1006"/>
      <c r="G145" s="1660"/>
      <c r="H145" s="1001"/>
      <c r="I145" s="1001"/>
      <c r="J145" s="1001"/>
      <c r="K145" s="1001"/>
      <c r="L145" s="1001"/>
      <c r="M145" s="1005"/>
      <c r="AI145" s="1645">
        <v>0</v>
      </c>
    </row>
    <row customHeight="1" ht="15">
      <c r="A146" s="2399"/>
      <c r="D146" s="1642"/>
      <c r="E146" s="579"/>
      <c r="F146" s="1177" t="s">
        <v>607</v>
      </c>
      <c r="G146" s="581"/>
      <c r="H146" s="582"/>
      <c r="I146" s="582"/>
      <c r="J146" s="2679"/>
      <c r="K146" s="2680"/>
      <c r="L146" s="2681"/>
      <c r="M146" s="1013" t="s">
        <v>618</v>
      </c>
      <c r="N146" s="552"/>
      <c r="AI146" s="1640">
        <v>0</v>
      </c>
    </row>
    <row customHeight="1" ht="22.5">
      <c r="A147" s="2399"/>
      <c r="D147" s="1647"/>
      <c r="E147" s="555" t="str">
        <f>FHD_NUM_P_79</f>
        <v>16</v>
      </c>
      <c r="F147" s="188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47" s="1884" t="s">
        <v>575</v>
      </c>
      <c r="H147" s="586"/>
      <c r="I147" s="586">
        <v>176.733</v>
      </c>
      <c r="J147" s="586">
        <v>192.5891</v>
      </c>
      <c r="K147" s="586">
        <v>153.7109</v>
      </c>
      <c r="L147" s="586">
        <v>0</v>
      </c>
      <c r="M147" s="29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N147" s="552"/>
      <c r="AI147" s="1640">
        <v>0</v>
      </c>
    </row>
    <row s="1651" customFormat="1" customHeight="1" ht="0.75">
      <c r="A148" s="2399"/>
      <c r="D148" s="557"/>
      <c r="E148" s="1022" t="str">
        <f>E147&amp;".0"</f>
        <v>16.0</v>
      </c>
      <c r="F148" s="1007"/>
      <c r="G148" s="1660"/>
      <c r="H148" s="1001"/>
      <c r="I148" s="1001"/>
      <c r="J148" s="1001"/>
      <c r="K148" s="1001"/>
      <c r="L148" s="1001"/>
      <c r="M148" s="1005"/>
      <c r="AI148" s="1645">
        <v>0</v>
      </c>
    </row>
    <row customHeight="1" ht="15">
      <c r="A149" s="2399"/>
      <c r="D149" s="1642"/>
      <c r="E149" s="579"/>
      <c r="F149" s="1177" t="s">
        <v>607</v>
      </c>
      <c r="G149" s="581"/>
      <c r="H149" s="582"/>
      <c r="I149" s="582"/>
      <c r="J149" s="2682"/>
      <c r="K149" s="2683"/>
      <c r="L149" s="2684"/>
      <c r="M149" s="1013" t="s">
        <v>619</v>
      </c>
      <c r="N149" s="552"/>
      <c r="AI149" s="1640">
        <v>0</v>
      </c>
    </row>
    <row customHeight="1" ht="22.5">
      <c r="A150" s="2399"/>
      <c r="D150" s="1647"/>
      <c r="E150" s="555" t="str">
        <f>FHD_NUM_P_80</f>
        <v>17</v>
      </c>
      <c r="F150" s="188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0" s="1884" t="s">
        <v>620</v>
      </c>
      <c r="H150" s="566"/>
      <c r="I150" s="566">
        <v>0.06</v>
      </c>
      <c r="J150" s="566">
        <v>0.07</v>
      </c>
      <c r="K150" s="566">
        <v>0.04</v>
      </c>
      <c r="L150" s="566">
        <v>0</v>
      </c>
      <c r="M150" s="298" t="str">
        <f>FHD_NOTE_P_80</f>
        <v>Регулируемыми организациями указывается информация с по договорам, заключенным в рамках осуществления регулируемой деятельности.</v>
      </c>
      <c r="N150" s="552"/>
      <c r="AI150" s="1640">
        <v>0</v>
      </c>
    </row>
    <row customHeight="1" ht="18.75">
      <c r="A151" s="2399"/>
      <c r="D151" s="1647"/>
      <c r="E151" s="555" t="str">
        <f>FHD_NUM_P_81</f>
        <v>18</v>
      </c>
      <c r="F151" s="188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51" s="1884" t="s">
        <v>621</v>
      </c>
      <c r="H151" s="566"/>
      <c r="I151" s="566">
        <v>5.37</v>
      </c>
      <c r="J151" s="566">
        <v>0.9</v>
      </c>
      <c r="K151" s="566">
        <v>4.37</v>
      </c>
      <c r="L151" s="566">
        <v>0</v>
      </c>
      <c r="M151" s="298" t="str">
        <f>FHD_NOTE_P_81</f>
        <v>Регулируемыми организациями указывается информация с по договорам, заключенным в рамках осуществления регулируемой деятельности.</v>
      </c>
      <c r="N151" s="552"/>
      <c r="AI151" s="1640">
        <v>0</v>
      </c>
    </row>
    <row customHeight="1" ht="18.75">
      <c r="A152" s="2399"/>
      <c r="C152" s="1645" t="s">
        <v>599</v>
      </c>
      <c r="D152" s="1647"/>
      <c r="E152" s="555" t="str">
        <f>FHD_NUM_P_82</f>
        <v>19</v>
      </c>
      <c r="F152" s="188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52" s="1884" t="s">
        <v>321</v>
      </c>
      <c r="H152" s="410"/>
      <c r="I152" s="410"/>
      <c r="J152" s="827"/>
      <c r="K152" s="827"/>
      <c r="L152" s="827"/>
      <c r="M152" s="298" t="str">
        <f>FHD_NOTE_P_82</f>
        <v>Указывается ссылка на документ, предварительно загруженный в хранилище файлов ФГИС ЕИАС.</v>
      </c>
      <c r="N152" s="552"/>
      <c r="AI152" s="1640">
        <v>0</v>
      </c>
    </row>
    <row customHeight="1" ht="18.75">
      <c r="A153" s="2399"/>
      <c r="C153" s="1645" t="s">
        <v>599</v>
      </c>
      <c r="D153" s="1647"/>
      <c r="E153" s="555" t="str">
        <f>FHD_NUM_P_83</f>
        <v>19.1</v>
      </c>
      <c r="F153" s="1533" t="str">
        <f>FHD_P_83</f>
        <v>Информация о показателях физического износа объектов теплоснабжения</v>
      </c>
      <c r="G153" s="1884" t="s">
        <v>321</v>
      </c>
      <c r="H153" s="410"/>
      <c r="I153" s="410"/>
      <c r="J153" s="827"/>
      <c r="K153" s="827"/>
      <c r="L153" s="827"/>
      <c r="M153" s="298" t="str">
        <f>FHD_NOTE_P_83</f>
        <v>Указывается ссылка на документ, предварительно загруженный в хранилище файлов ФГИС ЕИАС.</v>
      </c>
      <c r="N153" s="552"/>
      <c r="AI153" s="1640">
        <v>0</v>
      </c>
    </row>
    <row customHeight="1" ht="18.75">
      <c r="A154" s="2399"/>
      <c r="C154" s="1645" t="s">
        <v>599</v>
      </c>
      <c r="D154" s="1647"/>
      <c r="E154" s="555" t="str">
        <f>FHD_NUM_P_84</f>
        <v>19.2</v>
      </c>
      <c r="F154" s="1533" t="str">
        <f>FHD_P_84</f>
        <v>Информация о показателях энергетической эффективности объектов теплоснабжения</v>
      </c>
      <c r="G154" s="1884" t="s">
        <v>321</v>
      </c>
      <c r="H154" s="410"/>
      <c r="I154" s="410"/>
      <c r="J154" s="827"/>
      <c r="K154" s="827"/>
      <c r="L154" s="827"/>
      <c r="M154" s="298" t="str">
        <f>FHD_NOTE_P_84</f>
        <v>Указывается ссылка на документ, предварительно загруженный в хранилище файлов ФГИС ЕИАС.</v>
      </c>
      <c r="N154" s="552"/>
      <c r="AI154" s="1640">
        <v>0</v>
      </c>
    </row>
    <row customHeight="1" ht="11.549999999999999">
      <c r="D155" s="1647"/>
      <c r="J155" s="1644"/>
      <c r="K155" s="1644"/>
      <c r="L155" s="1644"/>
      <c r="AI155" s="1640">
        <v>11</v>
      </c>
    </row>
    <row customHeight="1" ht="13.5">
      <c r="D156" s="1647"/>
      <c r="E156" s="345"/>
      <c r="F156" s="378"/>
      <c r="G156" s="378"/>
      <c r="H156" s="378"/>
      <c r="I156" s="1656"/>
      <c r="J156" s="1695"/>
      <c r="K156" s="1695"/>
      <c r="L156" s="1695"/>
      <c r="M156" s="590"/>
      <c r="AI156" s="1640">
        <v>13</v>
      </c>
    </row>
    <row s="1650" customFormat="1" customHeight="1" ht="11.549999999999999">
      <c r="A157" s="996"/>
      <c r="B157" s="1645"/>
      <c r="C157" s="1645"/>
      <c r="D157" s="360"/>
      <c r="F157" s="1649"/>
      <c r="G157" s="1640"/>
      <c r="H157" s="1640"/>
      <c r="I157" s="1640"/>
      <c r="J157" s="1644"/>
      <c r="K157" s="1644"/>
      <c r="L157" s="1644"/>
      <c r="N157" s="1169"/>
      <c r="O157" s="1645"/>
      <c r="P157" s="1645"/>
      <c r="Q157" s="1169"/>
      <c r="R157" s="1169"/>
      <c r="S157" s="1169"/>
      <c r="T157" s="1169"/>
      <c r="U157" s="1645"/>
      <c r="V157" s="1169"/>
      <c r="W157" s="1169"/>
      <c r="X157" s="553"/>
      <c r="Y157" s="1169"/>
      <c r="Z157" s="1169"/>
      <c r="AA157" s="1169"/>
      <c r="AB157" s="1169"/>
      <c r="AC157" s="1169"/>
      <c r="AD157" s="1641"/>
      <c r="AE157" s="575"/>
      <c r="AF157" s="575"/>
      <c r="AG157" s="575"/>
      <c r="AH157" s="575"/>
      <c r="AI157" s="1650">
        <v>11</v>
      </c>
    </row>
    <row s="1650" customFormat="1" customHeight="1" ht="11.549999999999999">
      <c r="A158" s="996"/>
      <c r="B158" s="1645"/>
      <c r="C158" s="1645"/>
      <c r="D158" s="360"/>
      <c r="J158" s="1650"/>
      <c r="K158" s="1650"/>
      <c r="L158" s="1650"/>
      <c r="N158" s="1169"/>
      <c r="O158" s="1645"/>
      <c r="P158" s="1645"/>
      <c r="Q158" s="1169"/>
      <c r="R158" s="1169"/>
      <c r="S158" s="1169"/>
      <c r="T158" s="1169"/>
      <c r="U158" s="1645"/>
      <c r="V158" s="1169"/>
      <c r="W158" s="1169"/>
      <c r="X158" s="553"/>
      <c r="Y158" s="1169"/>
      <c r="Z158" s="1169"/>
      <c r="AA158" s="1169"/>
      <c r="AB158" s="1169"/>
      <c r="AC158" s="1169"/>
      <c r="AD158" s="1641"/>
      <c r="AE158" s="575"/>
      <c r="AF158" s="575"/>
      <c r="AG158" s="575"/>
      <c r="AH158" s="575"/>
      <c r="AI158" s="1650">
        <v>11</v>
      </c>
    </row>
    <row s="1650" customFormat="1" customHeight="1" ht="11.549999999999999">
      <c r="A159" s="996"/>
      <c r="B159" s="1645"/>
      <c r="C159" s="1645"/>
      <c r="D159" s="360"/>
      <c r="J159" s="1650"/>
      <c r="K159" s="1650"/>
      <c r="L159" s="1650"/>
      <c r="N159" s="1169"/>
      <c r="O159" s="1645"/>
      <c r="P159" s="1645"/>
      <c r="Q159" s="1169"/>
      <c r="R159" s="1169"/>
      <c r="S159" s="1169"/>
      <c r="T159" s="1169"/>
      <c r="U159" s="1645"/>
      <c r="V159" s="1169"/>
      <c r="W159" s="1169"/>
      <c r="X159" s="553"/>
      <c r="Y159" s="1169"/>
      <c r="Z159" s="1169"/>
      <c r="AA159" s="1169"/>
      <c r="AB159" s="1169"/>
      <c r="AC159" s="1169"/>
      <c r="AD159" s="1641"/>
      <c r="AE159" s="575"/>
      <c r="AF159" s="575"/>
      <c r="AG159" s="575"/>
      <c r="AH159" s="575"/>
      <c r="AI159" s="1650">
        <v>11</v>
      </c>
    </row>
    <row s="1650" customFormat="1" customHeight="1" ht="11.549999999999999">
      <c r="A160" s="996"/>
      <c r="B160" s="1645"/>
      <c r="C160" s="1645"/>
      <c r="D160" s="360"/>
      <c r="H160" s="575" t="str">
        <f>IF(H30-H31&lt;&gt;H96,"WARNING","")</f>
        <v/>
      </c>
      <c r="I160" s="575" t="str">
        <f>IF(I30-I31&lt;&gt;I96,"WARNING","")</f>
        <v>WARNING</v>
      </c>
      <c r="J160" s="631" t="str">
        <f>IF(J30-J31&lt;&gt;J96,"WARNING","")</f>
        <v>WARNING</v>
      </c>
      <c r="K160" s="631" t="str">
        <f>IF(K30-K31&lt;&gt;K96,"WARNING","")</f>
        <v>WARNING</v>
      </c>
      <c r="L160" s="631" t="str">
        <f>IF(L30-L31&lt;&gt;L96,"WARNING","")</f>
        <v>WARNING</v>
      </c>
      <c r="N160" s="1169"/>
      <c r="O160" s="1645"/>
      <c r="P160" s="1645"/>
      <c r="Q160" s="1169"/>
      <c r="R160" s="1169"/>
      <c r="S160" s="1169"/>
      <c r="T160" s="1169"/>
      <c r="U160" s="1645"/>
      <c r="V160" s="1169"/>
      <c r="W160" s="1169"/>
      <c r="X160" s="553"/>
      <c r="Y160" s="1169"/>
      <c r="Z160" s="1169"/>
      <c r="AA160" s="1169"/>
      <c r="AB160" s="1169"/>
      <c r="AC160" s="1169"/>
      <c r="AD160" s="1641"/>
      <c r="AE160" s="575"/>
      <c r="AF160" s="575"/>
      <c r="AG160" s="575"/>
      <c r="AH160" s="575"/>
      <c r="AI160" s="1650">
        <v>11</v>
      </c>
    </row>
    <row s="1650" customFormat="1" customHeight="1" ht="11.549999999999999">
      <c r="A161" s="996"/>
      <c r="B161" s="1645"/>
      <c r="C161" s="1645"/>
      <c r="D161" s="360"/>
      <c r="J161" s="1650"/>
      <c r="K161" s="1650"/>
      <c r="L161" s="1650"/>
      <c r="N161" s="1169"/>
      <c r="O161" s="1645"/>
      <c r="P161" s="1645"/>
      <c r="Q161" s="1169"/>
      <c r="R161" s="1169"/>
      <c r="S161" s="1169"/>
      <c r="T161" s="1169"/>
      <c r="U161" s="1645"/>
      <c r="V161" s="1169"/>
      <c r="W161" s="1169"/>
      <c r="X161" s="553"/>
      <c r="Y161" s="1169"/>
      <c r="Z161" s="1169"/>
      <c r="AA161" s="1169"/>
      <c r="AB161" s="1169"/>
      <c r="AC161" s="1169"/>
      <c r="AD161" s="1641"/>
      <c r="AE161" s="575"/>
      <c r="AF161" s="575"/>
      <c r="AG161" s="575"/>
      <c r="AH161" s="575"/>
      <c r="AI161" s="1650">
        <v>11</v>
      </c>
    </row>
    <row s="1650" customFormat="1" customHeight="1" ht="11.549999999999999">
      <c r="A162" s="996"/>
      <c r="B162" s="1645"/>
      <c r="C162" s="1645"/>
      <c r="D162" s="360"/>
      <c r="J162" s="1650"/>
      <c r="K162" s="1650"/>
      <c r="L162" s="1650"/>
      <c r="N162" s="1169"/>
      <c r="O162" s="1645"/>
      <c r="P162" s="1645"/>
      <c r="Q162" s="1169"/>
      <c r="R162" s="1169"/>
      <c r="S162" s="1169"/>
      <c r="T162" s="1169"/>
      <c r="U162" s="1645"/>
      <c r="V162" s="1169"/>
      <c r="W162" s="1169"/>
      <c r="X162" s="553"/>
      <c r="Y162" s="1169"/>
      <c r="Z162" s="1169"/>
      <c r="AA162" s="1169"/>
      <c r="AB162" s="1169"/>
      <c r="AC162" s="1169"/>
      <c r="AD162" s="1641"/>
      <c r="AE162" s="575"/>
      <c r="AF162" s="575"/>
      <c r="AG162" s="575"/>
      <c r="AH162" s="575"/>
      <c r="AI162" s="1650">
        <v>11</v>
      </c>
    </row>
    <row s="1650" customFormat="1" customHeight="1" ht="11.549999999999999">
      <c r="A163" s="996"/>
      <c r="B163" s="1645"/>
      <c r="C163" s="1645"/>
      <c r="D163" s="360"/>
      <c r="J163" s="1650"/>
      <c r="K163" s="1650"/>
      <c r="L163" s="1650"/>
      <c r="N163" s="1169"/>
      <c r="O163" s="1645"/>
      <c r="P163" s="1645"/>
      <c r="Q163" s="1169"/>
      <c r="R163" s="1169"/>
      <c r="S163" s="1169"/>
      <c r="T163" s="1169"/>
      <c r="U163" s="1645"/>
      <c r="V163" s="1169"/>
      <c r="W163" s="1169"/>
      <c r="X163" s="553"/>
      <c r="Y163" s="1169"/>
      <c r="Z163" s="1169"/>
      <c r="AA163" s="1169"/>
      <c r="AB163" s="1169"/>
      <c r="AC163" s="1169"/>
      <c r="AD163" s="1641"/>
      <c r="AE163" s="575"/>
      <c r="AF163" s="575"/>
      <c r="AG163" s="575"/>
      <c r="AH163" s="575"/>
      <c r="AI163" s="1650">
        <v>11</v>
      </c>
    </row>
    <row s="1650" customFormat="1" customHeight="1" ht="11.549999999999999">
      <c r="A164" s="996"/>
      <c r="B164" s="1645"/>
      <c r="C164" s="1645"/>
      <c r="D164" s="360"/>
      <c r="J164" s="1650"/>
      <c r="K164" s="1650"/>
      <c r="L164" s="1650"/>
      <c r="N164" s="1169"/>
      <c r="O164" s="1645"/>
      <c r="P164" s="1645"/>
      <c r="Q164" s="1169"/>
      <c r="R164" s="1169"/>
      <c r="S164" s="1169"/>
      <c r="T164" s="1169"/>
      <c r="U164" s="1645"/>
      <c r="V164" s="1169"/>
      <c r="W164" s="1169"/>
      <c r="X164" s="553"/>
      <c r="Y164" s="1169"/>
      <c r="Z164" s="1169"/>
      <c r="AA164" s="1169"/>
      <c r="AB164" s="1169"/>
      <c r="AC164" s="1169"/>
      <c r="AD164" s="1641"/>
      <c r="AE164" s="575"/>
      <c r="AF164" s="575"/>
      <c r="AG164" s="575"/>
      <c r="AH164" s="575"/>
      <c r="AI164" s="1650">
        <v>11</v>
      </c>
    </row>
    <row s="1650" customFormat="1" customHeight="1" ht="11.549999999999999">
      <c r="A165" s="996"/>
      <c r="B165" s="1645"/>
      <c r="C165" s="1645"/>
      <c r="D165" s="360"/>
      <c r="J165" s="1650"/>
      <c r="K165" s="1650"/>
      <c r="L165" s="1650"/>
      <c r="N165" s="1169"/>
      <c r="O165" s="1645"/>
      <c r="P165" s="1645"/>
      <c r="Q165" s="1169"/>
      <c r="R165" s="1169"/>
      <c r="S165" s="1169"/>
      <c r="T165" s="1169"/>
      <c r="U165" s="1645"/>
      <c r="V165" s="1169"/>
      <c r="W165" s="1169"/>
      <c r="X165" s="553"/>
      <c r="Y165" s="1169"/>
      <c r="Z165" s="1169"/>
      <c r="AA165" s="1169"/>
      <c r="AB165" s="1169"/>
      <c r="AC165" s="1169"/>
      <c r="AD165" s="1641"/>
      <c r="AE165" s="575"/>
      <c r="AF165" s="575"/>
      <c r="AG165" s="575"/>
      <c r="AH165" s="575"/>
      <c r="AI165" s="1650">
        <v>11</v>
      </c>
    </row>
    <row s="1650" customFormat="1" customHeight="1" ht="11.549999999999999">
      <c r="A166" s="996"/>
      <c r="B166" s="1645"/>
      <c r="C166" s="1645"/>
      <c r="D166" s="360"/>
      <c r="J166" s="1650"/>
      <c r="K166" s="1650"/>
      <c r="L166" s="1650"/>
      <c r="N166" s="1169"/>
      <c r="O166" s="1645"/>
      <c r="P166" s="1645"/>
      <c r="Q166" s="1169"/>
      <c r="R166" s="1169"/>
      <c r="S166" s="1169"/>
      <c r="T166" s="1169"/>
      <c r="U166" s="1645"/>
      <c r="V166" s="1169"/>
      <c r="W166" s="1169"/>
      <c r="X166" s="553"/>
      <c r="Y166" s="1169"/>
      <c r="Z166" s="1169"/>
      <c r="AA166" s="1169"/>
      <c r="AB166" s="1169"/>
      <c r="AC166" s="1169"/>
      <c r="AD166" s="1641"/>
      <c r="AE166" s="575"/>
      <c r="AF166" s="575"/>
      <c r="AG166" s="575"/>
      <c r="AH166" s="575"/>
      <c r="AI166" s="1650">
        <v>11</v>
      </c>
    </row>
    <row s="1650" customFormat="1" customHeight="1" ht="11.549999999999999">
      <c r="A167" s="996"/>
      <c r="B167" s="1645"/>
      <c r="C167" s="1645"/>
      <c r="D167" s="360"/>
      <c r="J167" s="1650"/>
      <c r="K167" s="1650"/>
      <c r="L167" s="1650"/>
      <c r="N167" s="1169"/>
      <c r="O167" s="1645"/>
      <c r="P167" s="1645"/>
      <c r="Q167" s="1169"/>
      <c r="R167" s="1169"/>
      <c r="S167" s="1169"/>
      <c r="T167" s="1169"/>
      <c r="U167" s="1645"/>
      <c r="V167" s="1169"/>
      <c r="W167" s="1169"/>
      <c r="X167" s="553"/>
      <c r="Y167" s="1169"/>
      <c r="Z167" s="1169"/>
      <c r="AA167" s="1169"/>
      <c r="AB167" s="1169"/>
      <c r="AC167" s="1169"/>
      <c r="AD167" s="1641"/>
      <c r="AE167" s="575"/>
      <c r="AF167" s="575"/>
      <c r="AG167" s="575"/>
      <c r="AH167" s="575"/>
      <c r="AI167" s="1650">
        <v>11</v>
      </c>
    </row>
    <row s="1650" customFormat="1" customHeight="1" ht="11.549999999999999">
      <c r="A168" s="996"/>
      <c r="B168" s="1645"/>
      <c r="C168" s="1645"/>
      <c r="D168" s="360"/>
      <c r="J168" s="1650"/>
      <c r="K168" s="1650"/>
      <c r="L168" s="1650"/>
      <c r="N168" s="1169"/>
      <c r="O168" s="1645"/>
      <c r="P168" s="1645"/>
      <c r="Q168" s="1169"/>
      <c r="R168" s="1169"/>
      <c r="S168" s="1169"/>
      <c r="T168" s="1169"/>
      <c r="U168" s="1645"/>
      <c r="V168" s="1169"/>
      <c r="W168" s="1169"/>
      <c r="X168" s="553"/>
      <c r="Y168" s="1169"/>
      <c r="Z168" s="1169"/>
      <c r="AA168" s="1169"/>
      <c r="AB168" s="1169"/>
      <c r="AC168" s="1169"/>
      <c r="AD168" s="1641"/>
      <c r="AE168" s="575"/>
      <c r="AF168" s="575"/>
      <c r="AG168" s="575"/>
      <c r="AH168" s="575"/>
      <c r="AI168" s="1650">
        <v>11</v>
      </c>
    </row>
    <row s="1650" customFormat="1" customHeight="1" ht="11.549999999999999">
      <c r="A169" s="996"/>
      <c r="B169" s="1645"/>
      <c r="C169" s="1645"/>
      <c r="D169" s="360"/>
      <c r="J169" s="1650"/>
      <c r="K169" s="1650"/>
      <c r="L169" s="1650"/>
      <c r="N169" s="1169"/>
      <c r="O169" s="1645"/>
      <c r="P169" s="1645"/>
      <c r="Q169" s="1169"/>
      <c r="R169" s="1169"/>
      <c r="S169" s="1169"/>
      <c r="T169" s="1169"/>
      <c r="U169" s="1645"/>
      <c r="V169" s="1169"/>
      <c r="W169" s="1169"/>
      <c r="X169" s="553"/>
      <c r="Y169" s="1169"/>
      <c r="Z169" s="1169"/>
      <c r="AA169" s="1169"/>
      <c r="AB169" s="1169"/>
      <c r="AC169" s="1169"/>
      <c r="AD169" s="1641"/>
      <c r="AE169" s="575"/>
      <c r="AF169" s="575"/>
      <c r="AG169" s="575"/>
      <c r="AH169" s="575"/>
      <c r="AI169" s="1650">
        <v>11</v>
      </c>
    </row>
    <row s="1650" customFormat="1" customHeight="1" ht="11.549999999999999">
      <c r="A170" s="996"/>
      <c r="B170" s="1645"/>
      <c r="C170" s="1645"/>
      <c r="D170" s="360"/>
      <c r="J170" s="1650"/>
      <c r="K170" s="1650"/>
      <c r="L170" s="1650"/>
      <c r="N170" s="1169"/>
      <c r="O170" s="1645"/>
      <c r="P170" s="1645"/>
      <c r="Q170" s="1169"/>
      <c r="R170" s="1169"/>
      <c r="S170" s="1169"/>
      <c r="T170" s="1169"/>
      <c r="U170" s="1645"/>
      <c r="V170" s="1169"/>
      <c r="W170" s="1169"/>
      <c r="X170" s="553"/>
      <c r="Y170" s="1169"/>
      <c r="Z170" s="1169"/>
      <c r="AA170" s="1169"/>
      <c r="AB170" s="1169"/>
      <c r="AC170" s="1169"/>
      <c r="AD170" s="1641"/>
      <c r="AE170" s="575"/>
      <c r="AF170" s="575"/>
      <c r="AG170" s="575"/>
      <c r="AH170" s="575"/>
      <c r="AI170" s="1650">
        <v>11</v>
      </c>
    </row>
    <row s="1650" customFormat="1" customHeight="1" ht="11.549999999999999">
      <c r="A171" s="996"/>
      <c r="B171" s="1645"/>
      <c r="C171" s="1645"/>
      <c r="D171" s="360"/>
      <c r="J171" s="1650"/>
      <c r="K171" s="1650"/>
      <c r="L171" s="1650"/>
      <c r="N171" s="1169"/>
      <c r="O171" s="1645"/>
      <c r="P171" s="1645"/>
      <c r="Q171" s="1169"/>
      <c r="R171" s="1169"/>
      <c r="S171" s="1169"/>
      <c r="T171" s="1169"/>
      <c r="U171" s="1645"/>
      <c r="V171" s="1169"/>
      <c r="W171" s="1169"/>
      <c r="X171" s="553"/>
      <c r="Y171" s="1169"/>
      <c r="Z171" s="1169"/>
      <c r="AA171" s="1169"/>
      <c r="AB171" s="1169"/>
      <c r="AC171" s="1169"/>
      <c r="AD171" s="1641"/>
      <c r="AE171" s="575"/>
      <c r="AF171" s="575"/>
      <c r="AG171" s="575"/>
      <c r="AH171" s="575"/>
      <c r="AI171" s="1650">
        <v>11</v>
      </c>
    </row>
    <row s="1650" customFormat="1" customHeight="1" ht="11.549999999999999">
      <c r="A172" s="996"/>
      <c r="B172" s="1645"/>
      <c r="C172" s="1645"/>
      <c r="D172" s="360"/>
      <c r="J172" s="1650"/>
      <c r="K172" s="1650"/>
      <c r="L172" s="1650"/>
      <c r="N172" s="1169"/>
      <c r="O172" s="1645"/>
      <c r="P172" s="1645"/>
      <c r="Q172" s="1169"/>
      <c r="R172" s="1169"/>
      <c r="S172" s="1169"/>
      <c r="T172" s="1169"/>
      <c r="U172" s="1645"/>
      <c r="V172" s="1169"/>
      <c r="W172" s="1169"/>
      <c r="X172" s="553"/>
      <c r="Y172" s="1169"/>
      <c r="Z172" s="1169"/>
      <c r="AA172" s="1169"/>
      <c r="AB172" s="1169"/>
      <c r="AC172" s="1169"/>
      <c r="AD172" s="1641"/>
      <c r="AE172" s="575"/>
      <c r="AF172" s="575"/>
      <c r="AG172" s="575"/>
      <c r="AH172" s="575"/>
      <c r="AI172" s="1650">
        <v>11</v>
      </c>
    </row>
    <row s="1650" customFormat="1" customHeight="1" ht="11.549999999999999">
      <c r="A173" s="996"/>
      <c r="B173" s="1645"/>
      <c r="C173" s="1645"/>
      <c r="D173" s="360"/>
      <c r="J173" s="1650"/>
      <c r="K173" s="1650"/>
      <c r="L173" s="1650"/>
      <c r="N173" s="1169"/>
      <c r="O173" s="1645"/>
      <c r="P173" s="1645"/>
      <c r="Q173" s="1169"/>
      <c r="R173" s="1169"/>
      <c r="S173" s="1169"/>
      <c r="T173" s="1169"/>
      <c r="U173" s="1645"/>
      <c r="V173" s="1169"/>
      <c r="W173" s="1169"/>
      <c r="X173" s="553"/>
      <c r="Y173" s="1169"/>
      <c r="Z173" s="1169"/>
      <c r="AA173" s="1169"/>
      <c r="AB173" s="1169"/>
      <c r="AC173" s="1169"/>
      <c r="AD173" s="1641"/>
      <c r="AE173" s="575"/>
      <c r="AF173" s="575"/>
      <c r="AG173" s="575"/>
      <c r="AH173" s="575"/>
      <c r="AI173" s="1650">
        <v>11</v>
      </c>
    </row>
    <row s="1650" customFormat="1" customHeight="1" ht="11.549999999999999">
      <c r="A174" s="996"/>
      <c r="B174" s="1645"/>
      <c r="C174" s="1645"/>
      <c r="D174" s="360"/>
      <c r="J174" s="1650"/>
      <c r="K174" s="1650"/>
      <c r="L174" s="1650"/>
      <c r="N174" s="1169"/>
      <c r="O174" s="1645"/>
      <c r="P174" s="1645"/>
      <c r="Q174" s="1169"/>
      <c r="R174" s="1169"/>
      <c r="S174" s="1169"/>
      <c r="T174" s="1169"/>
      <c r="U174" s="1645"/>
      <c r="V174" s="1169"/>
      <c r="W174" s="1169"/>
      <c r="X174" s="553"/>
      <c r="Y174" s="1169"/>
      <c r="Z174" s="1169"/>
      <c r="AA174" s="1169"/>
      <c r="AB174" s="1169"/>
      <c r="AC174" s="1169"/>
      <c r="AD174" s="1641"/>
      <c r="AE174" s="575"/>
      <c r="AF174" s="575"/>
      <c r="AG174" s="575"/>
      <c r="AH174" s="575"/>
      <c r="AI174" s="1650">
        <v>11</v>
      </c>
    </row>
    <row s="1650" customFormat="1" customHeight="1" ht="11.549999999999999">
      <c r="A175" s="996"/>
      <c r="B175" s="1645"/>
      <c r="C175" s="1645"/>
      <c r="D175" s="360"/>
      <c r="J175" s="1650"/>
      <c r="K175" s="1650"/>
      <c r="L175" s="1650"/>
      <c r="N175" s="1169"/>
      <c r="O175" s="1645"/>
      <c r="P175" s="1645"/>
      <c r="Q175" s="1169"/>
      <c r="R175" s="1169"/>
      <c r="S175" s="1169"/>
      <c r="T175" s="1169"/>
      <c r="U175" s="1645"/>
      <c r="V175" s="1169"/>
      <c r="W175" s="1169"/>
      <c r="X175" s="553"/>
      <c r="Y175" s="1169"/>
      <c r="Z175" s="1169"/>
      <c r="AA175" s="1169"/>
      <c r="AB175" s="1169"/>
      <c r="AC175" s="1169"/>
      <c r="AD175" s="1641"/>
      <c r="AE175" s="575"/>
      <c r="AF175" s="575"/>
      <c r="AG175" s="575"/>
      <c r="AH175" s="575"/>
      <c r="AI175" s="1650">
        <v>11</v>
      </c>
    </row>
    <row s="1650" customFormat="1" customHeight="1" ht="11.549999999999999">
      <c r="A176" s="996"/>
      <c r="B176" s="1645"/>
      <c r="C176" s="1645"/>
      <c r="D176" s="360"/>
      <c r="J176" s="1650"/>
      <c r="K176" s="1650"/>
      <c r="L176" s="1650"/>
      <c r="N176" s="1169"/>
      <c r="O176" s="1645"/>
      <c r="P176" s="1645"/>
      <c r="Q176" s="1169"/>
      <c r="R176" s="1169"/>
      <c r="S176" s="1169"/>
      <c r="T176" s="1169"/>
      <c r="U176" s="1645"/>
      <c r="V176" s="1169"/>
      <c r="W176" s="1169"/>
      <c r="X176" s="553"/>
      <c r="Y176" s="1169"/>
      <c r="Z176" s="1169"/>
      <c r="AA176" s="1169"/>
      <c r="AB176" s="1169"/>
      <c r="AC176" s="1169"/>
      <c r="AD176" s="1641"/>
      <c r="AE176" s="575"/>
      <c r="AF176" s="575"/>
      <c r="AG176" s="575"/>
      <c r="AH176" s="575"/>
      <c r="AI176" s="1650">
        <v>11</v>
      </c>
    </row>
    <row s="1650" customFormat="1" customHeight="1" ht="11.549999999999999">
      <c r="A177" s="996"/>
      <c r="B177" s="1645"/>
      <c r="C177" s="1645"/>
      <c r="D177" s="360"/>
      <c r="J177" s="1650"/>
      <c r="K177" s="1650"/>
      <c r="L177" s="1650"/>
      <c r="N177" s="1169"/>
      <c r="O177" s="1645"/>
      <c r="P177" s="1645"/>
      <c r="Q177" s="1169"/>
      <c r="R177" s="1169"/>
      <c r="S177" s="1169"/>
      <c r="T177" s="1169"/>
      <c r="U177" s="1645"/>
      <c r="V177" s="1169"/>
      <c r="W177" s="1169"/>
      <c r="X177" s="553"/>
      <c r="Y177" s="1169"/>
      <c r="Z177" s="1169"/>
      <c r="AA177" s="1169"/>
      <c r="AB177" s="1169"/>
      <c r="AC177" s="1169"/>
      <c r="AD177" s="1641"/>
      <c r="AE177" s="575"/>
      <c r="AF177" s="575"/>
      <c r="AG177" s="575"/>
      <c r="AH177" s="575"/>
      <c r="AI177" s="1650">
        <v>11</v>
      </c>
    </row>
    <row s="1650" customFormat="1" customHeight="1" ht="11.549999999999999">
      <c r="A178" s="996"/>
      <c r="B178" s="1645"/>
      <c r="C178" s="1645"/>
      <c r="D178" s="360"/>
      <c r="J178" s="1650"/>
      <c r="K178" s="1650"/>
      <c r="L178" s="1650"/>
      <c r="N178" s="1169"/>
      <c r="O178" s="1645"/>
      <c r="P178" s="1645"/>
      <c r="Q178" s="1169"/>
      <c r="R178" s="1169"/>
      <c r="S178" s="1169"/>
      <c r="T178" s="1169"/>
      <c r="U178" s="1645"/>
      <c r="V178" s="1169"/>
      <c r="W178" s="1169"/>
      <c r="X178" s="553"/>
      <c r="Y178" s="1169"/>
      <c r="Z178" s="1169"/>
      <c r="AA178" s="1169"/>
      <c r="AB178" s="1169"/>
      <c r="AC178" s="1169"/>
      <c r="AD178" s="1641"/>
      <c r="AE178" s="575"/>
      <c r="AF178" s="575"/>
      <c r="AG178" s="575"/>
      <c r="AH178" s="575"/>
      <c r="AI178" s="1650">
        <v>11</v>
      </c>
    </row>
    <row s="1650" customFormat="1" customHeight="1" ht="11.549999999999999">
      <c r="A179" s="996"/>
      <c r="B179" s="1645"/>
      <c r="C179" s="1645"/>
      <c r="D179" s="360"/>
      <c r="J179" s="1650"/>
      <c r="K179" s="1650"/>
      <c r="L179" s="1650"/>
      <c r="N179" s="1169"/>
      <c r="O179" s="1645"/>
      <c r="P179" s="1645"/>
      <c r="Q179" s="1169"/>
      <c r="R179" s="1169"/>
      <c r="S179" s="1169"/>
      <c r="T179" s="1169"/>
      <c r="U179" s="1645"/>
      <c r="V179" s="1169"/>
      <c r="W179" s="1169"/>
      <c r="X179" s="553"/>
      <c r="Y179" s="1169"/>
      <c r="Z179" s="1169"/>
      <c r="AA179" s="1169"/>
      <c r="AB179" s="1169"/>
      <c r="AC179" s="1169"/>
      <c r="AD179" s="1641"/>
      <c r="AE179" s="575"/>
      <c r="AF179" s="575"/>
      <c r="AG179" s="575"/>
      <c r="AH179" s="575"/>
      <c r="AI179" s="1650">
        <v>11</v>
      </c>
    </row>
    <row s="1650" customFormat="1" customHeight="1" ht="11.549999999999999">
      <c r="A180" s="996"/>
      <c r="B180" s="1645"/>
      <c r="C180" s="1645"/>
      <c r="D180" s="360"/>
      <c r="J180" s="1650"/>
      <c r="K180" s="1650"/>
      <c r="L180" s="1650"/>
      <c r="N180" s="1169"/>
      <c r="O180" s="1645"/>
      <c r="P180" s="1645"/>
      <c r="Q180" s="1169"/>
      <c r="R180" s="1169"/>
      <c r="S180" s="1169"/>
      <c r="T180" s="1169"/>
      <c r="U180" s="1645"/>
      <c r="V180" s="1169"/>
      <c r="W180" s="1169"/>
      <c r="X180" s="553"/>
      <c r="Y180" s="1169"/>
      <c r="Z180" s="1169"/>
      <c r="AA180" s="1169"/>
      <c r="AB180" s="1169"/>
      <c r="AC180" s="1169"/>
      <c r="AD180" s="1641"/>
      <c r="AE180" s="575"/>
      <c r="AF180" s="575"/>
      <c r="AG180" s="575"/>
      <c r="AH180" s="575"/>
      <c r="AI180" s="1650">
        <v>11</v>
      </c>
    </row>
    <row s="1650" customFormat="1" customHeight="1" ht="11.549999999999999">
      <c r="A181" s="996"/>
      <c r="B181" s="1645"/>
      <c r="C181" s="1645"/>
      <c r="D181" s="360"/>
      <c r="J181" s="1650"/>
      <c r="K181" s="1650"/>
      <c r="L181" s="1650"/>
      <c r="N181" s="1169"/>
      <c r="O181" s="1645"/>
      <c r="P181" s="1645"/>
      <c r="Q181" s="1169"/>
      <c r="R181" s="1169"/>
      <c r="S181" s="1169"/>
      <c r="T181" s="1169"/>
      <c r="U181" s="1645"/>
      <c r="V181" s="1169"/>
      <c r="W181" s="1169"/>
      <c r="X181" s="553"/>
      <c r="Y181" s="1169"/>
      <c r="Z181" s="1169"/>
      <c r="AA181" s="1169"/>
      <c r="AB181" s="1169"/>
      <c r="AC181" s="1169"/>
      <c r="AD181" s="1641"/>
      <c r="AE181" s="575"/>
      <c r="AF181" s="575"/>
      <c r="AG181" s="575"/>
      <c r="AH181" s="575"/>
      <c r="AI181" s="1650">
        <v>11</v>
      </c>
    </row>
    <row s="1650" customFormat="1" customHeight="1" ht="11.549999999999999">
      <c r="A182" s="996"/>
      <c r="B182" s="1645"/>
      <c r="C182" s="1645"/>
      <c r="D182" s="360"/>
      <c r="J182" s="1650"/>
      <c r="K182" s="1650"/>
      <c r="L182" s="1650"/>
      <c r="N182" s="1169"/>
      <c r="O182" s="1645"/>
      <c r="P182" s="1645"/>
      <c r="Q182" s="1169"/>
      <c r="R182" s="1169"/>
      <c r="S182" s="1169"/>
      <c r="T182" s="1169"/>
      <c r="U182" s="1645"/>
      <c r="V182" s="1169"/>
      <c r="W182" s="1169"/>
      <c r="X182" s="553"/>
      <c r="Y182" s="1169"/>
      <c r="Z182" s="1169"/>
      <c r="AA182" s="1169"/>
      <c r="AB182" s="1169"/>
      <c r="AC182" s="1169"/>
      <c r="AD182" s="1641"/>
      <c r="AE182" s="575"/>
      <c r="AF182" s="575"/>
      <c r="AG182" s="575"/>
      <c r="AH182" s="575"/>
      <c r="AI182" s="1650">
        <v>11</v>
      </c>
    </row>
    <row s="1650" customFormat="1" customHeight="1" ht="11.549999999999999">
      <c r="A183" s="996"/>
      <c r="B183" s="1645"/>
      <c r="C183" s="1645"/>
      <c r="D183" s="360"/>
      <c r="J183" s="1650"/>
      <c r="K183" s="1650"/>
      <c r="L183" s="1650"/>
      <c r="N183" s="1169"/>
      <c r="O183" s="1645"/>
      <c r="P183" s="1645"/>
      <c r="Q183" s="1169"/>
      <c r="R183" s="1169"/>
      <c r="S183" s="1169"/>
      <c r="T183" s="1169"/>
      <c r="U183" s="1645"/>
      <c r="V183" s="1169"/>
      <c r="W183" s="1169"/>
      <c r="X183" s="553"/>
      <c r="Y183" s="1169"/>
      <c r="Z183" s="1169"/>
      <c r="AA183" s="1169"/>
      <c r="AB183" s="1169"/>
      <c r="AC183" s="1169"/>
      <c r="AD183" s="1641"/>
      <c r="AE183" s="575"/>
      <c r="AF183" s="575"/>
      <c r="AG183" s="575"/>
      <c r="AH183" s="575"/>
      <c r="AI183" s="1650">
        <v>11</v>
      </c>
    </row>
    <row s="1650" customFormat="1" customHeight="1" ht="11.549999999999999">
      <c r="A184" s="996"/>
      <c r="B184" s="1645"/>
      <c r="C184" s="1645"/>
      <c r="D184" s="360"/>
      <c r="J184" s="1650"/>
      <c r="K184" s="1650"/>
      <c r="L184" s="1650"/>
      <c r="N184" s="1169"/>
      <c r="O184" s="1645"/>
      <c r="P184" s="1645"/>
      <c r="Q184" s="1169"/>
      <c r="R184" s="1169"/>
      <c r="S184" s="1169"/>
      <c r="T184" s="1169"/>
      <c r="U184" s="1645"/>
      <c r="V184" s="1169"/>
      <c r="W184" s="1169"/>
      <c r="X184" s="553"/>
      <c r="Y184" s="1169"/>
      <c r="Z184" s="1169"/>
      <c r="AA184" s="1169"/>
      <c r="AB184" s="1169"/>
      <c r="AC184" s="1169"/>
      <c r="AD184" s="1641"/>
      <c r="AE184" s="575"/>
      <c r="AF184" s="575"/>
      <c r="AG184" s="575"/>
      <c r="AH184" s="575"/>
      <c r="AI184" s="1650">
        <v>11</v>
      </c>
    </row>
    <row s="1650" customFormat="1" customHeight="1" ht="11.549999999999999">
      <c r="A185" s="996"/>
      <c r="B185" s="1645"/>
      <c r="C185" s="1645"/>
      <c r="D185" s="360"/>
      <c r="J185" s="1650"/>
      <c r="K185" s="1650"/>
      <c r="L185" s="1650"/>
      <c r="N185" s="1169"/>
      <c r="O185" s="1645"/>
      <c r="P185" s="1645"/>
      <c r="Q185" s="1169"/>
      <c r="R185" s="1169"/>
      <c r="S185" s="1169"/>
      <c r="T185" s="1169"/>
      <c r="U185" s="1645"/>
      <c r="V185" s="1169"/>
      <c r="W185" s="1169"/>
      <c r="X185" s="553"/>
      <c r="Y185" s="1169"/>
      <c r="Z185" s="1169"/>
      <c r="AA185" s="1169"/>
      <c r="AB185" s="1169"/>
      <c r="AC185" s="1169"/>
      <c r="AD185" s="1641"/>
      <c r="AE185" s="575"/>
      <c r="AF185" s="575"/>
      <c r="AG185" s="575"/>
      <c r="AH185" s="575"/>
      <c r="AI185" s="1650">
        <v>11</v>
      </c>
    </row>
    <row s="1650" customFormat="1" customHeight="1" ht="11.549999999999999">
      <c r="A186" s="996"/>
      <c r="B186" s="1645"/>
      <c r="C186" s="1645"/>
      <c r="D186" s="360"/>
      <c r="J186" s="1650"/>
      <c r="K186" s="1650"/>
      <c r="L186" s="1650"/>
      <c r="N186" s="1169"/>
      <c r="O186" s="1645"/>
      <c r="P186" s="1645"/>
      <c r="Q186" s="1169"/>
      <c r="R186" s="1169"/>
      <c r="S186" s="1169"/>
      <c r="T186" s="1169"/>
      <c r="U186" s="1645"/>
      <c r="V186" s="1169"/>
      <c r="W186" s="1169"/>
      <c r="X186" s="553"/>
      <c r="Y186" s="1169"/>
      <c r="Z186" s="1169"/>
      <c r="AA186" s="1169"/>
      <c r="AB186" s="1169"/>
      <c r="AC186" s="1169"/>
      <c r="AD186" s="1641"/>
      <c r="AE186" s="575"/>
      <c r="AF186" s="575"/>
      <c r="AG186" s="575"/>
      <c r="AH186" s="575"/>
      <c r="AI186" s="1650">
        <v>11</v>
      </c>
    </row>
    <row s="1650" customFormat="1" customHeight="1" ht="11.549999999999999">
      <c r="A187" s="996"/>
      <c r="B187" s="1645"/>
      <c r="C187" s="1645"/>
      <c r="D187" s="360"/>
      <c r="J187" s="1650"/>
      <c r="K187" s="1650"/>
      <c r="L187" s="1650"/>
      <c r="N187" s="1169"/>
      <c r="O187" s="1645"/>
      <c r="P187" s="1645"/>
      <c r="Q187" s="1169"/>
      <c r="R187" s="1169"/>
      <c r="S187" s="1169"/>
      <c r="T187" s="1169"/>
      <c r="U187" s="1645"/>
      <c r="V187" s="1169"/>
      <c r="W187" s="1169"/>
      <c r="X187" s="553"/>
      <c r="Y187" s="1169"/>
      <c r="Z187" s="1169"/>
      <c r="AA187" s="1169"/>
      <c r="AB187" s="1169"/>
      <c r="AC187" s="1169"/>
      <c r="AD187" s="1641"/>
      <c r="AE187" s="575"/>
      <c r="AF187" s="575"/>
      <c r="AG187" s="575"/>
      <c r="AH187" s="575"/>
      <c r="AI187" s="1650">
        <v>11</v>
      </c>
    </row>
    <row s="1650" customFormat="1" customHeight="1" ht="11.549999999999999">
      <c r="A188" s="996"/>
      <c r="B188" s="1645"/>
      <c r="C188" s="1645"/>
      <c r="D188" s="360"/>
      <c r="J188" s="1650"/>
      <c r="K188" s="1650"/>
      <c r="L188" s="1650"/>
      <c r="N188" s="1169"/>
      <c r="O188" s="1645"/>
      <c r="P188" s="1645"/>
      <c r="Q188" s="1169"/>
      <c r="R188" s="1169"/>
      <c r="S188" s="1169"/>
      <c r="T188" s="1169"/>
      <c r="U188" s="1645"/>
      <c r="V188" s="1169"/>
      <c r="W188" s="1169"/>
      <c r="X188" s="553"/>
      <c r="Y188" s="1169"/>
      <c r="Z188" s="1169"/>
      <c r="AA188" s="1169"/>
      <c r="AB188" s="1169"/>
      <c r="AC188" s="1169"/>
      <c r="AD188" s="1641"/>
      <c r="AE188" s="575"/>
      <c r="AF188" s="575"/>
      <c r="AG188" s="575"/>
      <c r="AH188" s="575"/>
      <c r="AI188" s="1650">
        <v>11</v>
      </c>
    </row>
    <row s="1650" customFormat="1" customHeight="1" ht="11.549999999999999">
      <c r="A189" s="996"/>
      <c r="B189" s="1645"/>
      <c r="C189" s="1645"/>
      <c r="D189" s="360"/>
      <c r="J189" s="1650"/>
      <c r="K189" s="1650"/>
      <c r="L189" s="1650"/>
      <c r="N189" s="1169"/>
      <c r="O189" s="1645"/>
      <c r="P189" s="1645"/>
      <c r="Q189" s="1169"/>
      <c r="R189" s="1169"/>
      <c r="S189" s="1169"/>
      <c r="T189" s="1169"/>
      <c r="U189" s="1645"/>
      <c r="V189" s="1169"/>
      <c r="W189" s="1169"/>
      <c r="X189" s="553"/>
      <c r="Y189" s="1169"/>
      <c r="Z189" s="1169"/>
      <c r="AA189" s="1169"/>
      <c r="AB189" s="1169"/>
      <c r="AC189" s="1169"/>
      <c r="AD189" s="1641"/>
      <c r="AE189" s="575"/>
      <c r="AF189" s="575"/>
      <c r="AG189" s="575"/>
      <c r="AH189" s="575"/>
      <c r="AI189" s="1650">
        <v>11</v>
      </c>
    </row>
    <row s="1650" customFormat="1" customHeight="1" ht="11.549999999999999">
      <c r="A190" s="996"/>
      <c r="B190" s="1645"/>
      <c r="C190" s="1645"/>
      <c r="D190" s="360"/>
      <c r="J190" s="1650"/>
      <c r="K190" s="1650"/>
      <c r="L190" s="1650"/>
      <c r="N190" s="1169"/>
      <c r="O190" s="1645"/>
      <c r="P190" s="1645"/>
      <c r="Q190" s="1169"/>
      <c r="R190" s="1169"/>
      <c r="S190" s="1169"/>
      <c r="T190" s="1169"/>
      <c r="U190" s="1645"/>
      <c r="V190" s="1169"/>
      <c r="W190" s="1169"/>
      <c r="X190" s="553"/>
      <c r="Y190" s="1169"/>
      <c r="Z190" s="1169"/>
      <c r="AA190" s="1169"/>
      <c r="AB190" s="1169"/>
      <c r="AC190" s="1169"/>
      <c r="AD190" s="1641"/>
      <c r="AE190" s="575"/>
      <c r="AF190" s="575"/>
      <c r="AG190" s="575"/>
      <c r="AH190" s="575"/>
      <c r="AI190" s="1650">
        <v>11</v>
      </c>
    </row>
    <row s="1650" customFormat="1" customHeight="1" ht="11.549999999999999">
      <c r="A191" s="996"/>
      <c r="B191" s="1645"/>
      <c r="C191" s="1645"/>
      <c r="D191" s="360"/>
      <c r="J191" s="1650"/>
      <c r="K191" s="1650"/>
      <c r="L191" s="1650"/>
      <c r="N191" s="1169"/>
      <c r="O191" s="1645"/>
      <c r="P191" s="1645"/>
      <c r="Q191" s="1169"/>
      <c r="R191" s="1169"/>
      <c r="S191" s="1169"/>
      <c r="T191" s="1169"/>
      <c r="U191" s="1645"/>
      <c r="V191" s="1169"/>
      <c r="W191" s="1169"/>
      <c r="X191" s="553"/>
      <c r="Y191" s="1169"/>
      <c r="Z191" s="1169"/>
      <c r="AA191" s="1169"/>
      <c r="AB191" s="1169"/>
      <c r="AC191" s="1169"/>
      <c r="AD191" s="1641"/>
      <c r="AE191" s="575"/>
      <c r="AF191" s="575"/>
      <c r="AG191" s="575"/>
      <c r="AH191" s="575"/>
      <c r="AI191" s="1650">
        <v>11</v>
      </c>
    </row>
    <row s="1650" customFormat="1" customHeight="1" ht="11.549999999999999">
      <c r="A192" s="996"/>
      <c r="B192" s="1645"/>
      <c r="C192" s="1645"/>
      <c r="D192" s="360"/>
      <c r="J192" s="1650"/>
      <c r="K192" s="1650"/>
      <c r="L192" s="1650"/>
      <c r="N192" s="1169"/>
      <c r="O192" s="1645"/>
      <c r="P192" s="1645"/>
      <c r="Q192" s="1169"/>
      <c r="R192" s="1169"/>
      <c r="S192" s="1169"/>
      <c r="T192" s="1169"/>
      <c r="U192" s="1645"/>
      <c r="V192" s="1169"/>
      <c r="W192" s="1169"/>
      <c r="X192" s="553"/>
      <c r="Y192" s="1169"/>
      <c r="Z192" s="1169"/>
      <c r="AA192" s="1169"/>
      <c r="AB192" s="1169"/>
      <c r="AC192" s="1169"/>
      <c r="AD192" s="1641"/>
      <c r="AE192" s="575"/>
      <c r="AF192" s="575"/>
      <c r="AG192" s="575"/>
      <c r="AH192" s="575"/>
      <c r="AI192" s="1650">
        <v>11</v>
      </c>
    </row>
    <row s="1650" customFormat="1" customHeight="1" ht="11.549999999999999">
      <c r="A193" s="996"/>
      <c r="B193" s="1645"/>
      <c r="C193" s="1645"/>
      <c r="D193" s="360"/>
      <c r="J193" s="1650"/>
      <c r="K193" s="1650"/>
      <c r="L193" s="1650"/>
      <c r="N193" s="1169"/>
      <c r="O193" s="1645"/>
      <c r="P193" s="1645"/>
      <c r="Q193" s="1169"/>
      <c r="R193" s="1169"/>
      <c r="S193" s="1169"/>
      <c r="T193" s="1169"/>
      <c r="U193" s="1645"/>
      <c r="V193" s="1169"/>
      <c r="W193" s="1169"/>
      <c r="X193" s="553"/>
      <c r="Y193" s="1169"/>
      <c r="Z193" s="1169"/>
      <c r="AA193" s="1169"/>
      <c r="AB193" s="1169"/>
      <c r="AC193" s="1169"/>
      <c r="AD193" s="1641"/>
      <c r="AE193" s="575"/>
      <c r="AF193" s="575"/>
      <c r="AG193" s="575"/>
      <c r="AH193" s="575"/>
      <c r="AI193" s="1650">
        <v>11</v>
      </c>
    </row>
    <row s="1650" customFormat="1" customHeight="1" ht="11.549999999999999">
      <c r="A194" s="996"/>
      <c r="B194" s="1645"/>
      <c r="C194" s="1645"/>
      <c r="D194" s="360"/>
      <c r="J194" s="1650"/>
      <c r="K194" s="1650"/>
      <c r="L194" s="1650"/>
      <c r="N194" s="1169"/>
      <c r="O194" s="1645"/>
      <c r="P194" s="1645"/>
      <c r="Q194" s="1169"/>
      <c r="R194" s="1169"/>
      <c r="S194" s="1169"/>
      <c r="T194" s="1169"/>
      <c r="U194" s="1645"/>
      <c r="V194" s="1169"/>
      <c r="W194" s="1169"/>
      <c r="X194" s="553"/>
      <c r="Y194" s="1169"/>
      <c r="Z194" s="1169"/>
      <c r="AA194" s="1169"/>
      <c r="AB194" s="1169"/>
      <c r="AC194" s="1169"/>
      <c r="AD194" s="1641"/>
      <c r="AE194" s="575"/>
      <c r="AF194" s="575"/>
      <c r="AG194" s="575"/>
      <c r="AH194" s="575"/>
      <c r="AI194" s="1650">
        <v>11</v>
      </c>
    </row>
    <row s="1650" customFormat="1" customHeight="1" ht="11.549999999999999">
      <c r="A195" s="996"/>
      <c r="B195" s="1645"/>
      <c r="C195" s="1645"/>
      <c r="D195" s="360"/>
      <c r="J195" s="1650"/>
      <c r="K195" s="1650"/>
      <c r="L195" s="1650"/>
      <c r="N195" s="1169"/>
      <c r="O195" s="1645"/>
      <c r="P195" s="1645"/>
      <c r="Q195" s="1169"/>
      <c r="R195" s="1169"/>
      <c r="S195" s="1169"/>
      <c r="T195" s="1169"/>
      <c r="U195" s="1645"/>
      <c r="V195" s="1169"/>
      <c r="W195" s="1169"/>
      <c r="X195" s="553"/>
      <c r="Y195" s="1169"/>
      <c r="Z195" s="1169"/>
      <c r="AA195" s="1169"/>
      <c r="AB195" s="1169"/>
      <c r="AC195" s="1169"/>
      <c r="AD195" s="1641"/>
      <c r="AE195" s="575"/>
      <c r="AF195" s="575"/>
      <c r="AG195" s="575"/>
      <c r="AH195" s="575"/>
      <c r="AI195" s="1650">
        <v>11</v>
      </c>
    </row>
    <row s="1650" customFormat="1" customHeight="1" ht="11.549999999999999">
      <c r="A196" s="996"/>
      <c r="B196" s="1645"/>
      <c r="C196" s="1645"/>
      <c r="D196" s="360"/>
      <c r="J196" s="1650"/>
      <c r="K196" s="1650"/>
      <c r="L196" s="1650"/>
      <c r="N196" s="1169"/>
      <c r="O196" s="1645"/>
      <c r="P196" s="1645"/>
      <c r="Q196" s="1169"/>
      <c r="R196" s="1169"/>
      <c r="S196" s="1169"/>
      <c r="T196" s="1169"/>
      <c r="U196" s="1645"/>
      <c r="V196" s="1169"/>
      <c r="W196" s="1169"/>
      <c r="X196" s="553"/>
      <c r="Y196" s="1169"/>
      <c r="Z196" s="1169"/>
      <c r="AA196" s="1169"/>
      <c r="AB196" s="1169"/>
      <c r="AC196" s="1169"/>
      <c r="AD196" s="1641"/>
      <c r="AE196" s="575"/>
      <c r="AF196" s="575"/>
      <c r="AG196" s="575"/>
      <c r="AH196" s="575"/>
      <c r="AI196" s="1650">
        <v>11</v>
      </c>
    </row>
    <row s="1650" customFormat="1" customHeight="1" ht="11.549999999999999">
      <c r="A197" s="996"/>
      <c r="B197" s="1645"/>
      <c r="C197" s="1645"/>
      <c r="D197" s="360"/>
      <c r="J197" s="1650"/>
      <c r="K197" s="1650"/>
      <c r="L197" s="1650"/>
      <c r="N197" s="1169"/>
      <c r="O197" s="1645"/>
      <c r="P197" s="1645"/>
      <c r="Q197" s="1169"/>
      <c r="R197" s="1169"/>
      <c r="S197" s="1169"/>
      <c r="T197" s="1169"/>
      <c r="U197" s="1645"/>
      <c r="V197" s="1169"/>
      <c r="W197" s="1169"/>
      <c r="X197" s="553"/>
      <c r="Y197" s="1169"/>
      <c r="Z197" s="1169"/>
      <c r="AA197" s="1169"/>
      <c r="AB197" s="1169"/>
      <c r="AC197" s="1169"/>
      <c r="AD197" s="1641"/>
      <c r="AE197" s="575"/>
      <c r="AF197" s="575"/>
      <c r="AG197" s="575"/>
      <c r="AH197" s="575"/>
      <c r="AI197" s="1650">
        <v>11</v>
      </c>
    </row>
    <row s="1650" customFormat="1" customHeight="1" ht="11.549999999999999">
      <c r="A198" s="996"/>
      <c r="B198" s="1645"/>
      <c r="C198" s="1645"/>
      <c r="D198" s="360"/>
      <c r="J198" s="1650"/>
      <c r="K198" s="1650"/>
      <c r="L198" s="1650"/>
      <c r="N198" s="1169"/>
      <c r="O198" s="1645"/>
      <c r="P198" s="1645"/>
      <c r="Q198" s="1169"/>
      <c r="R198" s="1169"/>
      <c r="S198" s="1169"/>
      <c r="T198" s="1169"/>
      <c r="U198" s="1645"/>
      <c r="V198" s="1169"/>
      <c r="W198" s="1169"/>
      <c r="X198" s="553"/>
      <c r="Y198" s="1169"/>
      <c r="Z198" s="1169"/>
      <c r="AA198" s="1169"/>
      <c r="AB198" s="1169"/>
      <c r="AC198" s="1169"/>
      <c r="AD198" s="1641"/>
      <c r="AE198" s="575"/>
      <c r="AF198" s="575"/>
      <c r="AG198" s="575"/>
      <c r="AH198" s="575"/>
      <c r="AI198" s="1650">
        <v>11</v>
      </c>
    </row>
    <row s="1650" customFormat="1" customHeight="1" ht="11.549999999999999">
      <c r="A199" s="996"/>
      <c r="B199" s="1645"/>
      <c r="C199" s="1645"/>
      <c r="D199" s="360"/>
      <c r="J199" s="1650"/>
      <c r="K199" s="1650"/>
      <c r="L199" s="1650"/>
      <c r="N199" s="1169"/>
      <c r="O199" s="1645"/>
      <c r="P199" s="1645"/>
      <c r="Q199" s="1169"/>
      <c r="R199" s="1169"/>
      <c r="S199" s="1169"/>
      <c r="T199" s="1169"/>
      <c r="U199" s="1645"/>
      <c r="V199" s="1169"/>
      <c r="W199" s="1169"/>
      <c r="X199" s="553"/>
      <c r="Y199" s="1169"/>
      <c r="Z199" s="1169"/>
      <c r="AA199" s="1169"/>
      <c r="AB199" s="1169"/>
      <c r="AC199" s="1169"/>
      <c r="AD199" s="1641"/>
      <c r="AE199" s="575"/>
      <c r="AF199" s="575"/>
      <c r="AG199" s="575"/>
      <c r="AH199" s="575"/>
      <c r="AI199" s="1650">
        <v>11</v>
      </c>
    </row>
    <row s="1650" customFormat="1" customHeight="1" ht="11.549999999999999">
      <c r="A200" s="996"/>
      <c r="B200" s="1645"/>
      <c r="C200" s="1645"/>
      <c r="D200" s="360"/>
      <c r="J200" s="1650"/>
      <c r="K200" s="1650"/>
      <c r="L200" s="1650"/>
      <c r="N200" s="1169"/>
      <c r="O200" s="1645"/>
      <c r="P200" s="1645"/>
      <c r="Q200" s="1169"/>
      <c r="R200" s="1169"/>
      <c r="S200" s="1169"/>
      <c r="T200" s="1169"/>
      <c r="U200" s="1645"/>
      <c r="V200" s="1169"/>
      <c r="W200" s="1169"/>
      <c r="X200" s="553"/>
      <c r="Y200" s="1169"/>
      <c r="Z200" s="1169"/>
      <c r="AA200" s="1169"/>
      <c r="AB200" s="1169"/>
      <c r="AC200" s="1169"/>
      <c r="AD200" s="1641"/>
      <c r="AE200" s="575"/>
      <c r="AF200" s="575"/>
      <c r="AG200" s="575"/>
      <c r="AH200" s="575"/>
      <c r="AI200" s="1650">
        <v>11</v>
      </c>
    </row>
    <row s="1650" customFormat="1" customHeight="1" ht="11.549999999999999">
      <c r="A201" s="996"/>
      <c r="B201" s="1645"/>
      <c r="C201" s="1645"/>
      <c r="D201" s="360"/>
      <c r="J201" s="1650"/>
      <c r="K201" s="1650"/>
      <c r="L201" s="1650"/>
      <c r="N201" s="1169"/>
      <c r="O201" s="1645"/>
      <c r="P201" s="1645"/>
      <c r="Q201" s="1169"/>
      <c r="R201" s="1169"/>
      <c r="S201" s="1169"/>
      <c r="T201" s="1169"/>
      <c r="U201" s="1645"/>
      <c r="V201" s="1169"/>
      <c r="W201" s="1169"/>
      <c r="X201" s="553"/>
      <c r="Y201" s="1169"/>
      <c r="Z201" s="1169"/>
      <c r="AA201" s="1169"/>
      <c r="AB201" s="1169"/>
      <c r="AC201" s="1169"/>
      <c r="AD201" s="1641"/>
      <c r="AE201" s="575"/>
      <c r="AF201" s="575"/>
      <c r="AG201" s="575"/>
      <c r="AH201" s="575"/>
      <c r="AI201" s="1650">
        <v>11</v>
      </c>
    </row>
    <row s="1650" customFormat="1" customHeight="1" ht="11.549999999999999">
      <c r="A202" s="996"/>
      <c r="B202" s="1645"/>
      <c r="C202" s="1645"/>
      <c r="D202" s="360"/>
      <c r="J202" s="1650"/>
      <c r="K202" s="1650"/>
      <c r="L202" s="1650"/>
      <c r="N202" s="1169"/>
      <c r="O202" s="1645"/>
      <c r="P202" s="1645"/>
      <c r="Q202" s="1169"/>
      <c r="R202" s="1169"/>
      <c r="S202" s="1169"/>
      <c r="T202" s="1169"/>
      <c r="U202" s="1645"/>
      <c r="V202" s="1169"/>
      <c r="W202" s="1169"/>
      <c r="X202" s="553"/>
      <c r="Y202" s="1169"/>
      <c r="Z202" s="1169"/>
      <c r="AA202" s="1169"/>
      <c r="AB202" s="1169"/>
      <c r="AC202" s="1169"/>
      <c r="AD202" s="1641"/>
      <c r="AE202" s="575"/>
      <c r="AF202" s="575"/>
      <c r="AG202" s="575"/>
      <c r="AH202" s="575"/>
      <c r="AI202" s="1650">
        <v>11</v>
      </c>
    </row>
    <row s="1650" customFormat="1" customHeight="1" ht="11.549999999999999">
      <c r="A203" s="996"/>
      <c r="B203" s="1645"/>
      <c r="C203" s="1645"/>
      <c r="D203" s="360"/>
      <c r="J203" s="1650"/>
      <c r="K203" s="1650"/>
      <c r="L203" s="1650"/>
      <c r="N203" s="1169"/>
      <c r="O203" s="1645"/>
      <c r="P203" s="1645"/>
      <c r="Q203" s="1169"/>
      <c r="R203" s="1169"/>
      <c r="S203" s="1169"/>
      <c r="T203" s="1169"/>
      <c r="U203" s="1645"/>
      <c r="V203" s="1169"/>
      <c r="W203" s="1169"/>
      <c r="X203" s="553"/>
      <c r="Y203" s="1169"/>
      <c r="Z203" s="1169"/>
      <c r="AA203" s="1169"/>
      <c r="AB203" s="1169"/>
      <c r="AC203" s="1169"/>
      <c r="AD203" s="1641"/>
      <c r="AE203" s="575"/>
      <c r="AF203" s="575"/>
      <c r="AG203" s="575"/>
      <c r="AH203" s="575"/>
      <c r="AI203" s="1650">
        <v>11</v>
      </c>
    </row>
    <row s="1650" customFormat="1" customHeight="1" ht="11.549999999999999">
      <c r="A204" s="996"/>
      <c r="B204" s="1645"/>
      <c r="C204" s="1645"/>
      <c r="D204" s="360"/>
      <c r="J204" s="1650"/>
      <c r="K204" s="1650"/>
      <c r="L204" s="1650"/>
      <c r="N204" s="1169"/>
      <c r="O204" s="1645"/>
      <c r="P204" s="1645"/>
      <c r="Q204" s="1169"/>
      <c r="R204" s="1169"/>
      <c r="S204" s="1169"/>
      <c r="T204" s="1169"/>
      <c r="U204" s="1645"/>
      <c r="V204" s="1169"/>
      <c r="W204" s="1169"/>
      <c r="X204" s="553"/>
      <c r="Y204" s="1169"/>
      <c r="Z204" s="1169"/>
      <c r="AA204" s="1169"/>
      <c r="AB204" s="1169"/>
      <c r="AC204" s="1169"/>
      <c r="AD204" s="1641"/>
      <c r="AE204" s="575"/>
      <c r="AF204" s="575"/>
      <c r="AG204" s="575"/>
      <c r="AH204" s="575"/>
      <c r="AI204" s="1650">
        <v>11</v>
      </c>
    </row>
    <row s="1650" customFormat="1" customHeight="1" ht="11.549999999999999">
      <c r="A205" s="996"/>
      <c r="B205" s="1645"/>
      <c r="C205" s="1645"/>
      <c r="D205" s="360"/>
      <c r="J205" s="1650"/>
      <c r="K205" s="1650"/>
      <c r="L205" s="1650"/>
      <c r="N205" s="1169"/>
      <c r="O205" s="1645"/>
      <c r="P205" s="1645"/>
      <c r="Q205" s="1169"/>
      <c r="R205" s="1169"/>
      <c r="S205" s="1169"/>
      <c r="T205" s="1169"/>
      <c r="U205" s="1645"/>
      <c r="V205" s="1169"/>
      <c r="W205" s="1169"/>
      <c r="X205" s="553"/>
      <c r="Y205" s="1169"/>
      <c r="Z205" s="1169"/>
      <c r="AA205" s="1169"/>
      <c r="AB205" s="1169"/>
      <c r="AC205" s="1169"/>
      <c r="AD205" s="1641"/>
      <c r="AE205" s="575"/>
      <c r="AF205" s="575"/>
      <c r="AG205" s="575"/>
      <c r="AH205" s="575"/>
      <c r="AI205" s="1650">
        <v>11</v>
      </c>
    </row>
    <row s="1650" customFormat="1" customHeight="1" ht="11.549999999999999">
      <c r="A206" s="996"/>
      <c r="B206" s="1645"/>
      <c r="C206" s="1645"/>
      <c r="D206" s="360"/>
      <c r="J206" s="1650"/>
      <c r="K206" s="1650"/>
      <c r="L206" s="1650"/>
      <c r="N206" s="1169"/>
      <c r="O206" s="1645"/>
      <c r="P206" s="1645"/>
      <c r="Q206" s="1169"/>
      <c r="R206" s="1169"/>
      <c r="S206" s="1169"/>
      <c r="T206" s="1169"/>
      <c r="U206" s="1645"/>
      <c r="V206" s="1169"/>
      <c r="W206" s="1169"/>
      <c r="X206" s="553"/>
      <c r="Y206" s="1169"/>
      <c r="Z206" s="1169"/>
      <c r="AA206" s="1169"/>
      <c r="AB206" s="1169"/>
      <c r="AC206" s="1169"/>
      <c r="AD206" s="1641"/>
      <c r="AE206" s="575"/>
      <c r="AF206" s="575"/>
      <c r="AG206" s="575"/>
      <c r="AH206" s="575"/>
      <c r="AI206" s="1650">
        <v>11</v>
      </c>
    </row>
    <row s="1650" customFormat="1" customHeight="1" ht="11.549999999999999">
      <c r="A207" s="996"/>
      <c r="B207" s="1645"/>
      <c r="C207" s="1645"/>
      <c r="D207" s="360"/>
      <c r="J207" s="1650"/>
      <c r="K207" s="1650"/>
      <c r="L207" s="1650"/>
      <c r="N207" s="1169"/>
      <c r="O207" s="1645"/>
      <c r="P207" s="1645"/>
      <c r="Q207" s="1169"/>
      <c r="R207" s="1169"/>
      <c r="S207" s="1169"/>
      <c r="T207" s="1169"/>
      <c r="U207" s="1645"/>
      <c r="V207" s="1169"/>
      <c r="W207" s="1169"/>
      <c r="X207" s="553"/>
      <c r="Y207" s="1169"/>
      <c r="Z207" s="1169"/>
      <c r="AA207" s="1169"/>
      <c r="AB207" s="1169"/>
      <c r="AC207" s="1169"/>
      <c r="AD207" s="1641"/>
      <c r="AE207" s="575"/>
      <c r="AF207" s="575"/>
      <c r="AG207" s="575"/>
      <c r="AH207" s="575"/>
      <c r="AI207" s="1650">
        <v>11</v>
      </c>
    </row>
    <row s="1650" customFormat="1" customHeight="1" ht="11.549999999999999">
      <c r="A208" s="996"/>
      <c r="B208" s="1645"/>
      <c r="C208" s="1645"/>
      <c r="D208" s="360"/>
      <c r="J208" s="1650"/>
      <c r="K208" s="1650"/>
      <c r="L208" s="1650"/>
      <c r="N208" s="1169"/>
      <c r="O208" s="1645"/>
      <c r="P208" s="1645"/>
      <c r="Q208" s="1169"/>
      <c r="R208" s="1169"/>
      <c r="S208" s="1169"/>
      <c r="T208" s="1169"/>
      <c r="U208" s="1645"/>
      <c r="V208" s="1169"/>
      <c r="W208" s="1169"/>
      <c r="X208" s="553"/>
      <c r="Y208" s="1169"/>
      <c r="Z208" s="1169"/>
      <c r="AA208" s="1169"/>
      <c r="AB208" s="1169"/>
      <c r="AC208" s="1169"/>
      <c r="AD208" s="1641"/>
      <c r="AE208" s="575"/>
      <c r="AF208" s="575"/>
      <c r="AG208" s="575"/>
      <c r="AH208" s="575"/>
      <c r="AI208" s="1650">
        <v>11</v>
      </c>
    </row>
    <row s="1650" customFormat="1" customHeight="1" ht="11.549999999999999">
      <c r="A209" s="996"/>
      <c r="B209" s="1645"/>
      <c r="C209" s="1645"/>
      <c r="D209" s="360"/>
      <c r="J209" s="1650"/>
      <c r="K209" s="1650"/>
      <c r="L209" s="1650"/>
      <c r="N209" s="1169"/>
      <c r="O209" s="1645"/>
      <c r="P209" s="1645"/>
      <c r="Q209" s="1169"/>
      <c r="R209" s="1169"/>
      <c r="S209" s="1169"/>
      <c r="T209" s="1169"/>
      <c r="U209" s="1645"/>
      <c r="V209" s="1169"/>
      <c r="W209" s="1169"/>
      <c r="X209" s="553"/>
      <c r="Y209" s="1169"/>
      <c r="Z209" s="1169"/>
      <c r="AA209" s="1169"/>
      <c r="AB209" s="1169"/>
      <c r="AC209" s="1169"/>
      <c r="AD209" s="1641"/>
      <c r="AE209" s="575"/>
      <c r="AF209" s="575"/>
      <c r="AG209" s="575"/>
      <c r="AH209" s="575"/>
      <c r="AI209" s="1650">
        <v>11</v>
      </c>
    </row>
    <row s="1650" customFormat="1" customHeight="1" ht="11.549999999999999">
      <c r="A210" s="996"/>
      <c r="B210" s="1645"/>
      <c r="C210" s="1645"/>
      <c r="D210" s="360"/>
      <c r="J210" s="1650"/>
      <c r="K210" s="1650"/>
      <c r="L210" s="1650"/>
      <c r="N210" s="1169"/>
      <c r="O210" s="1645"/>
      <c r="P210" s="1645"/>
      <c r="Q210" s="1169"/>
      <c r="R210" s="1169"/>
      <c r="S210" s="1169"/>
      <c r="T210" s="1169"/>
      <c r="U210" s="1645"/>
      <c r="V210" s="1169"/>
      <c r="W210" s="1169"/>
      <c r="X210" s="553"/>
      <c r="Y210" s="1169"/>
      <c r="Z210" s="1169"/>
      <c r="AA210" s="1169"/>
      <c r="AB210" s="1169"/>
      <c r="AC210" s="1169"/>
      <c r="AD210" s="1641"/>
      <c r="AE210" s="575"/>
      <c r="AF210" s="575"/>
      <c r="AG210" s="575"/>
      <c r="AH210" s="575"/>
      <c r="AI210" s="1650">
        <v>11</v>
      </c>
    </row>
    <row s="1650" customFormat="1" customHeight="1" ht="11.549999999999999">
      <c r="A211" s="996"/>
      <c r="B211" s="1645"/>
      <c r="C211" s="1645"/>
      <c r="D211" s="360"/>
      <c r="J211" s="1650"/>
      <c r="K211" s="1650"/>
      <c r="L211" s="1650"/>
      <c r="N211" s="1169"/>
      <c r="O211" s="1645"/>
      <c r="P211" s="1645"/>
      <c r="Q211" s="1169"/>
      <c r="R211" s="1169"/>
      <c r="S211" s="1169"/>
      <c r="T211" s="1169"/>
      <c r="U211" s="1645"/>
      <c r="V211" s="1169"/>
      <c r="W211" s="1169"/>
      <c r="X211" s="553"/>
      <c r="Y211" s="1169"/>
      <c r="Z211" s="1169"/>
      <c r="AA211" s="1169"/>
      <c r="AB211" s="1169"/>
      <c r="AC211" s="1169"/>
      <c r="AD211" s="1641"/>
      <c r="AE211" s="575"/>
      <c r="AF211" s="575"/>
      <c r="AG211" s="575"/>
      <c r="AH211" s="575"/>
      <c r="AI211" s="1650">
        <v>11</v>
      </c>
    </row>
    <row s="1650" customFormat="1" customHeight="1" ht="11.549999999999999">
      <c r="A212" s="996"/>
      <c r="B212" s="1645"/>
      <c r="C212" s="1645"/>
      <c r="D212" s="360"/>
      <c r="J212" s="1650"/>
      <c r="K212" s="1650"/>
      <c r="L212" s="1650"/>
      <c r="N212" s="1169"/>
      <c r="O212" s="1645"/>
      <c r="P212" s="1645"/>
      <c r="Q212" s="1169"/>
      <c r="R212" s="1169"/>
      <c r="S212" s="1169"/>
      <c r="T212" s="1169"/>
      <c r="U212" s="1645"/>
      <c r="V212" s="1169"/>
      <c r="W212" s="1169"/>
      <c r="X212" s="553"/>
      <c r="Y212" s="1169"/>
      <c r="Z212" s="1169"/>
      <c r="AA212" s="1169"/>
      <c r="AB212" s="1169"/>
      <c r="AC212" s="1169"/>
      <c r="AD212" s="1641"/>
      <c r="AE212" s="575"/>
      <c r="AF212" s="575"/>
      <c r="AG212" s="575"/>
      <c r="AH212" s="575"/>
      <c r="AI212" s="1650">
        <v>11</v>
      </c>
    </row>
    <row s="1650" customFormat="1" customHeight="1" ht="11.549999999999999">
      <c r="A213" s="996"/>
      <c r="B213" s="1645"/>
      <c r="C213" s="1645"/>
      <c r="D213" s="360"/>
      <c r="J213" s="1650"/>
      <c r="K213" s="1650"/>
      <c r="L213" s="1650"/>
      <c r="N213" s="1169"/>
      <c r="O213" s="1645"/>
      <c r="P213" s="1645"/>
      <c r="Q213" s="1169"/>
      <c r="R213" s="1169"/>
      <c r="S213" s="1169"/>
      <c r="T213" s="1169"/>
      <c r="U213" s="1645"/>
      <c r="V213" s="1169"/>
      <c r="W213" s="1169"/>
      <c r="X213" s="553"/>
      <c r="Y213" s="1169"/>
      <c r="Z213" s="1169"/>
      <c r="AA213" s="1169"/>
      <c r="AB213" s="1169"/>
      <c r="AC213" s="1169"/>
      <c r="AD213" s="1641"/>
      <c r="AE213" s="575"/>
      <c r="AF213" s="575"/>
      <c r="AG213" s="575"/>
      <c r="AH213" s="575"/>
      <c r="AI213" s="1650">
        <v>11</v>
      </c>
    </row>
    <row s="1650" customFormat="1" customHeight="1" ht="11.549999999999999">
      <c r="A214" s="996"/>
      <c r="B214" s="1645"/>
      <c r="C214" s="1645"/>
      <c r="D214" s="360"/>
      <c r="J214" s="1650"/>
      <c r="K214" s="1650"/>
      <c r="L214" s="1650"/>
      <c r="N214" s="1169"/>
      <c r="O214" s="1645"/>
      <c r="P214" s="1645"/>
      <c r="Q214" s="1169"/>
      <c r="R214" s="1169"/>
      <c r="S214" s="1169"/>
      <c r="T214" s="1169"/>
      <c r="U214" s="1645"/>
      <c r="V214" s="1169"/>
      <c r="W214" s="1169"/>
      <c r="X214" s="553"/>
      <c r="Y214" s="1169"/>
      <c r="Z214" s="1169"/>
      <c r="AA214" s="1169"/>
      <c r="AB214" s="1169"/>
      <c r="AC214" s="1169"/>
      <c r="AD214" s="1641"/>
      <c r="AE214" s="575"/>
      <c r="AF214" s="575"/>
      <c r="AG214" s="575"/>
      <c r="AH214" s="575"/>
      <c r="AI214" s="1650">
        <v>11</v>
      </c>
    </row>
    <row s="1650" customFormat="1" customHeight="1" ht="11.549999999999999">
      <c r="A215" s="996"/>
      <c r="B215" s="1645"/>
      <c r="C215" s="1645"/>
      <c r="D215" s="360"/>
      <c r="J215" s="1650"/>
      <c r="K215" s="1650"/>
      <c r="L215" s="1650"/>
      <c r="N215" s="1169"/>
      <c r="O215" s="1645"/>
      <c r="P215" s="1645"/>
      <c r="Q215" s="1169"/>
      <c r="R215" s="1169"/>
      <c r="S215" s="1169"/>
      <c r="T215" s="1169"/>
      <c r="U215" s="1645"/>
      <c r="V215" s="1169"/>
      <c r="W215" s="1169"/>
      <c r="X215" s="553"/>
      <c r="Y215" s="1169"/>
      <c r="Z215" s="1169"/>
      <c r="AA215" s="1169"/>
      <c r="AB215" s="1169"/>
      <c r="AC215" s="1169"/>
      <c r="AD215" s="1641"/>
      <c r="AE215" s="575"/>
      <c r="AF215" s="575"/>
      <c r="AG215" s="575"/>
      <c r="AH215" s="575"/>
      <c r="AI215" s="1650">
        <v>11</v>
      </c>
    </row>
    <row s="1650" customFormat="1" customHeight="1" ht="11.549999999999999">
      <c r="A216" s="996"/>
      <c r="B216" s="1645"/>
      <c r="C216" s="1645"/>
      <c r="D216" s="360"/>
      <c r="J216" s="1650"/>
      <c r="K216" s="1650"/>
      <c r="L216" s="1650"/>
      <c r="N216" s="1169"/>
      <c r="O216" s="1645"/>
      <c r="P216" s="1645"/>
      <c r="Q216" s="1169"/>
      <c r="R216" s="1169"/>
      <c r="S216" s="1169"/>
      <c r="T216" s="1169"/>
      <c r="U216" s="1645"/>
      <c r="V216" s="1169"/>
      <c r="W216" s="1169"/>
      <c r="X216" s="553"/>
      <c r="Y216" s="1169"/>
      <c r="Z216" s="1169"/>
      <c r="AA216" s="1169"/>
      <c r="AB216" s="1169"/>
      <c r="AC216" s="1169"/>
      <c r="AD216" s="1641"/>
      <c r="AE216" s="575"/>
      <c r="AF216" s="575"/>
      <c r="AG216" s="575"/>
      <c r="AH216" s="575"/>
      <c r="AI216" s="1650">
        <v>11</v>
      </c>
    </row>
    <row s="1650" customFormat="1" customHeight="1" ht="11.549999999999999">
      <c r="A217" s="996"/>
      <c r="B217" s="1645"/>
      <c r="C217" s="1645"/>
      <c r="D217" s="360"/>
      <c r="J217" s="1650"/>
      <c r="K217" s="1650"/>
      <c r="L217" s="1650"/>
      <c r="N217" s="1169"/>
      <c r="O217" s="1645"/>
      <c r="P217" s="1645"/>
      <c r="Q217" s="1169"/>
      <c r="R217" s="1169"/>
      <c r="S217" s="1169"/>
      <c r="T217" s="1169"/>
      <c r="U217" s="1645"/>
      <c r="V217" s="1169"/>
      <c r="W217" s="1169"/>
      <c r="X217" s="553"/>
      <c r="Y217" s="1169"/>
      <c r="Z217" s="1169"/>
      <c r="AA217" s="1169"/>
      <c r="AB217" s="1169"/>
      <c r="AC217" s="1169"/>
      <c r="AD217" s="1641"/>
      <c r="AE217" s="575"/>
      <c r="AF217" s="575"/>
      <c r="AG217" s="575"/>
      <c r="AH217" s="575"/>
      <c r="AI217" s="1650">
        <v>11</v>
      </c>
    </row>
    <row s="1650" customFormat="1" customHeight="1" ht="11.549999999999999">
      <c r="A218" s="996"/>
      <c r="B218" s="1645"/>
      <c r="C218" s="1645"/>
      <c r="D218" s="360"/>
      <c r="J218" s="1650"/>
      <c r="K218" s="1650"/>
      <c r="L218" s="1650"/>
      <c r="N218" s="1169"/>
      <c r="O218" s="1645"/>
      <c r="P218" s="1645"/>
      <c r="Q218" s="1169"/>
      <c r="R218" s="1169"/>
      <c r="S218" s="1169"/>
      <c r="T218" s="1169"/>
      <c r="U218" s="1645"/>
      <c r="V218" s="1169"/>
      <c r="W218" s="1169"/>
      <c r="X218" s="553"/>
      <c r="Y218" s="1169"/>
      <c r="Z218" s="1169"/>
      <c r="AA218" s="1169"/>
      <c r="AB218" s="1169"/>
      <c r="AC218" s="1169"/>
      <c r="AD218" s="1641"/>
      <c r="AE218" s="575"/>
      <c r="AF218" s="575"/>
      <c r="AG218" s="575"/>
      <c r="AH218" s="575"/>
      <c r="AI218" s="1650">
        <v>11</v>
      </c>
    </row>
    <row s="1650" customFormat="1" customHeight="1" ht="11.549999999999999">
      <c r="A219" s="996"/>
      <c r="B219" s="1645"/>
      <c r="C219" s="1645"/>
      <c r="D219" s="360"/>
      <c r="J219" s="1650"/>
      <c r="K219" s="1650"/>
      <c r="L219" s="1650"/>
      <c r="N219" s="1169"/>
      <c r="O219" s="1645"/>
      <c r="P219" s="1645"/>
      <c r="Q219" s="1169"/>
      <c r="R219" s="1169"/>
      <c r="S219" s="1169"/>
      <c r="T219" s="1169"/>
      <c r="U219" s="1645"/>
      <c r="V219" s="1169"/>
      <c r="W219" s="1169"/>
      <c r="X219" s="553"/>
      <c r="Y219" s="1169"/>
      <c r="Z219" s="1169"/>
      <c r="AA219" s="1169"/>
      <c r="AB219" s="1169"/>
      <c r="AC219" s="1169"/>
      <c r="AD219" s="1641"/>
      <c r="AE219" s="575"/>
      <c r="AF219" s="575"/>
      <c r="AG219" s="575"/>
      <c r="AH219" s="575"/>
      <c r="AI219" s="1650">
        <v>11</v>
      </c>
    </row>
    <row s="1650" customFormat="1" customHeight="1" ht="11.549999999999999">
      <c r="A220" s="996"/>
      <c r="B220" s="1645"/>
      <c r="C220" s="1645"/>
      <c r="D220" s="360"/>
      <c r="J220" s="1650"/>
      <c r="K220" s="1650"/>
      <c r="L220" s="1650"/>
      <c r="N220" s="1169"/>
      <c r="O220" s="1645"/>
      <c r="P220" s="1645"/>
      <c r="Q220" s="1169"/>
      <c r="R220" s="1169"/>
      <c r="S220" s="1169"/>
      <c r="T220" s="1169"/>
      <c r="U220" s="1645"/>
      <c r="V220" s="1169"/>
      <c r="W220" s="1169"/>
      <c r="X220" s="553"/>
      <c r="Y220" s="1169"/>
      <c r="Z220" s="1169"/>
      <c r="AA220" s="1169"/>
      <c r="AB220" s="1169"/>
      <c r="AC220" s="1169"/>
      <c r="AD220" s="1641"/>
      <c r="AE220" s="575"/>
      <c r="AF220" s="575"/>
      <c r="AG220" s="575"/>
      <c r="AH220" s="575"/>
      <c r="AI220" s="1650">
        <v>11</v>
      </c>
    </row>
    <row s="1650" customFormat="1" customHeight="1" ht="11.549999999999999">
      <c r="A221" s="996"/>
      <c r="B221" s="1645"/>
      <c r="C221" s="1645"/>
      <c r="D221" s="360"/>
      <c r="J221" s="1650"/>
      <c r="K221" s="1650"/>
      <c r="L221" s="1650"/>
      <c r="N221" s="1169"/>
      <c r="O221" s="1645"/>
      <c r="P221" s="1645"/>
      <c r="Q221" s="1169"/>
      <c r="R221" s="1169"/>
      <c r="S221" s="1169"/>
      <c r="T221" s="1169"/>
      <c r="U221" s="1645"/>
      <c r="V221" s="1169"/>
      <c r="W221" s="1169"/>
      <c r="X221" s="553"/>
      <c r="Y221" s="1169"/>
      <c r="Z221" s="1169"/>
      <c r="AA221" s="1169"/>
      <c r="AB221" s="1169"/>
      <c r="AC221" s="1169"/>
      <c r="AD221" s="1641"/>
      <c r="AE221" s="575"/>
      <c r="AF221" s="575"/>
      <c r="AG221" s="575"/>
      <c r="AH221" s="575"/>
      <c r="AI221" s="1650">
        <v>11</v>
      </c>
    </row>
    <row s="1650" customFormat="1" customHeight="1" ht="11.549999999999999">
      <c r="A222" s="996"/>
      <c r="B222" s="1645"/>
      <c r="C222" s="1645"/>
      <c r="D222" s="360"/>
      <c r="J222" s="1650"/>
      <c r="K222" s="1650"/>
      <c r="L222" s="1650"/>
      <c r="N222" s="1169"/>
      <c r="O222" s="1645"/>
      <c r="P222" s="1645"/>
      <c r="Q222" s="1169"/>
      <c r="R222" s="1169"/>
      <c r="S222" s="1169"/>
      <c r="T222" s="1169"/>
      <c r="U222" s="1645"/>
      <c r="V222" s="1169"/>
      <c r="W222" s="1169"/>
      <c r="X222" s="553"/>
      <c r="Y222" s="1169"/>
      <c r="Z222" s="1169"/>
      <c r="AA222" s="1169"/>
      <c r="AB222" s="1169"/>
      <c r="AC222" s="1169"/>
      <c r="AD222" s="1641"/>
      <c r="AE222" s="575"/>
      <c r="AF222" s="575"/>
      <c r="AG222" s="575"/>
      <c r="AH222" s="575"/>
      <c r="AI222" s="1650">
        <v>11</v>
      </c>
    </row>
    <row s="1650" customFormat="1" customHeight="1" ht="11.549999999999999">
      <c r="A223" s="996"/>
      <c r="B223" s="1645"/>
      <c r="C223" s="1645"/>
      <c r="D223" s="360"/>
      <c r="J223" s="1650"/>
      <c r="K223" s="1650"/>
      <c r="L223" s="1650"/>
      <c r="N223" s="1169"/>
      <c r="O223" s="1645"/>
      <c r="P223" s="1645"/>
      <c r="Q223" s="1169"/>
      <c r="R223" s="1169"/>
      <c r="S223" s="1169"/>
      <c r="T223" s="1169"/>
      <c r="U223" s="1645"/>
      <c r="V223" s="1169"/>
      <c r="W223" s="1169"/>
      <c r="X223" s="553"/>
      <c r="Y223" s="1169"/>
      <c r="Z223" s="1169"/>
      <c r="AA223" s="1169"/>
      <c r="AB223" s="1169"/>
      <c r="AC223" s="1169"/>
      <c r="AD223" s="1641"/>
      <c r="AE223" s="575"/>
      <c r="AF223" s="575"/>
      <c r="AG223" s="575"/>
      <c r="AH223" s="575"/>
      <c r="AI223" s="1650">
        <v>11</v>
      </c>
    </row>
    <row s="1650" customFormat="1" customHeight="1" ht="11.549999999999999">
      <c r="A224" s="996"/>
      <c r="B224" s="1645"/>
      <c r="C224" s="1645"/>
      <c r="D224" s="360"/>
      <c r="J224" s="1650"/>
      <c r="K224" s="1650"/>
      <c r="L224" s="1650"/>
      <c r="N224" s="1169"/>
      <c r="O224" s="1645"/>
      <c r="P224" s="1645"/>
      <c r="Q224" s="1169"/>
      <c r="R224" s="1169"/>
      <c r="S224" s="1169"/>
      <c r="T224" s="1169"/>
      <c r="U224" s="1645"/>
      <c r="V224" s="1169"/>
      <c r="W224" s="1169"/>
      <c r="X224" s="553"/>
      <c r="Y224" s="1169"/>
      <c r="Z224" s="1169"/>
      <c r="AA224" s="1169"/>
      <c r="AB224" s="1169"/>
      <c r="AC224" s="1169"/>
      <c r="AD224" s="1641"/>
      <c r="AE224" s="575"/>
      <c r="AF224" s="575"/>
      <c r="AG224" s="575"/>
      <c r="AH224" s="575"/>
      <c r="AI224" s="1650">
        <v>11</v>
      </c>
    </row>
    <row s="1650" customFormat="1" customHeight="1" ht="11.549999999999999">
      <c r="A225" s="996"/>
      <c r="B225" s="1645"/>
      <c r="C225" s="1645"/>
      <c r="D225" s="360"/>
      <c r="J225" s="1650"/>
      <c r="K225" s="1650"/>
      <c r="L225" s="1650"/>
      <c r="N225" s="1169"/>
      <c r="O225" s="1645"/>
      <c r="P225" s="1645"/>
      <c r="Q225" s="1169"/>
      <c r="R225" s="1169"/>
      <c r="S225" s="1169"/>
      <c r="T225" s="1169"/>
      <c r="U225" s="1645"/>
      <c r="V225" s="1169"/>
      <c r="W225" s="1169"/>
      <c r="X225" s="553"/>
      <c r="Y225" s="1169"/>
      <c r="Z225" s="1169"/>
      <c r="AA225" s="1169"/>
      <c r="AB225" s="1169"/>
      <c r="AC225" s="1169"/>
      <c r="AD225" s="1641"/>
      <c r="AE225" s="575"/>
      <c r="AF225" s="575"/>
      <c r="AG225" s="575"/>
      <c r="AH225" s="575"/>
      <c r="AI225" s="1650">
        <v>11</v>
      </c>
    </row>
    <row s="1650" customFormat="1" customHeight="1" ht="11.549999999999999">
      <c r="A226" s="996"/>
      <c r="B226" s="1645"/>
      <c r="C226" s="1645"/>
      <c r="D226" s="360"/>
      <c r="J226" s="1650"/>
      <c r="K226" s="1650"/>
      <c r="L226" s="1650"/>
      <c r="N226" s="1169"/>
      <c r="O226" s="1645"/>
      <c r="P226" s="1645"/>
      <c r="Q226" s="1169"/>
      <c r="R226" s="1169"/>
      <c r="S226" s="1169"/>
      <c r="T226" s="1169"/>
      <c r="U226" s="1645"/>
      <c r="V226" s="1169"/>
      <c r="W226" s="1169"/>
      <c r="X226" s="553"/>
      <c r="Y226" s="1169"/>
      <c r="Z226" s="1169"/>
      <c r="AA226" s="1169"/>
      <c r="AB226" s="1169"/>
      <c r="AC226" s="1169"/>
      <c r="AD226" s="1641"/>
      <c r="AE226" s="575"/>
      <c r="AF226" s="575"/>
      <c r="AG226" s="575"/>
      <c r="AH226" s="575"/>
      <c r="AI226" s="1650">
        <v>11</v>
      </c>
    </row>
    <row s="1650" customFormat="1" customHeight="1" ht="11.549999999999999">
      <c r="A227" s="996"/>
      <c r="B227" s="1645"/>
      <c r="C227" s="1645"/>
      <c r="D227" s="360"/>
      <c r="J227" s="1650"/>
      <c r="K227" s="1650"/>
      <c r="L227" s="1650"/>
      <c r="N227" s="1169"/>
      <c r="O227" s="1645"/>
      <c r="P227" s="1645"/>
      <c r="Q227" s="1169"/>
      <c r="R227" s="1169"/>
      <c r="S227" s="1169"/>
      <c r="T227" s="1169"/>
      <c r="U227" s="1645"/>
      <c r="V227" s="1169"/>
      <c r="W227" s="1169"/>
      <c r="X227" s="553"/>
      <c r="Y227" s="1169"/>
      <c r="Z227" s="1169"/>
      <c r="AA227" s="1169"/>
      <c r="AB227" s="1169"/>
      <c r="AC227" s="1169"/>
      <c r="AD227" s="1641"/>
      <c r="AE227" s="575"/>
      <c r="AF227" s="575"/>
      <c r="AG227" s="575"/>
      <c r="AH227" s="575"/>
      <c r="AI227" s="1650">
        <v>11</v>
      </c>
    </row>
    <row s="1650" customFormat="1" customHeight="1" ht="11.549999999999999">
      <c r="A228" s="996"/>
      <c r="B228" s="1645"/>
      <c r="C228" s="1645"/>
      <c r="D228" s="360"/>
      <c r="J228" s="1650"/>
      <c r="K228" s="1650"/>
      <c r="L228" s="1650"/>
      <c r="N228" s="1169"/>
      <c r="O228" s="1645"/>
      <c r="P228" s="1645"/>
      <c r="Q228" s="1169"/>
      <c r="R228" s="1169"/>
      <c r="S228" s="1169"/>
      <c r="T228" s="1169"/>
      <c r="U228" s="1645"/>
      <c r="V228" s="1169"/>
      <c r="W228" s="1169"/>
      <c r="X228" s="553"/>
      <c r="Y228" s="1169"/>
      <c r="Z228" s="1169"/>
      <c r="AA228" s="1169"/>
      <c r="AB228" s="1169"/>
      <c r="AC228" s="1169"/>
      <c r="AD228" s="1641"/>
      <c r="AE228" s="575"/>
      <c r="AF228" s="575"/>
      <c r="AG228" s="575"/>
      <c r="AH228" s="575"/>
      <c r="AI228" s="1650">
        <v>11</v>
      </c>
    </row>
    <row s="1650" customFormat="1" customHeight="1" ht="11.549999999999999">
      <c r="A229" s="996"/>
      <c r="B229" s="1645"/>
      <c r="C229" s="1645"/>
      <c r="D229" s="360"/>
      <c r="J229" s="1650"/>
      <c r="K229" s="1650"/>
      <c r="L229" s="1650"/>
      <c r="N229" s="1169"/>
      <c r="O229" s="1645"/>
      <c r="P229" s="1645"/>
      <c r="Q229" s="1169"/>
      <c r="R229" s="1169"/>
      <c r="S229" s="1169"/>
      <c r="T229" s="1169"/>
      <c r="U229" s="1645"/>
      <c r="V229" s="1169"/>
      <c r="W229" s="1169"/>
      <c r="X229" s="553"/>
      <c r="Y229" s="1169"/>
      <c r="Z229" s="1169"/>
      <c r="AA229" s="1169"/>
      <c r="AB229" s="1169"/>
      <c r="AC229" s="1169"/>
      <c r="AD229" s="1641"/>
      <c r="AE229" s="575"/>
      <c r="AF229" s="575"/>
      <c r="AG229" s="575"/>
      <c r="AH229" s="575"/>
      <c r="AI229" s="1650">
        <v>11</v>
      </c>
    </row>
    <row s="1650" customFormat="1" customHeight="1" ht="11.549999999999999">
      <c r="A230" s="996"/>
      <c r="B230" s="1645"/>
      <c r="C230" s="1645"/>
      <c r="D230" s="360"/>
      <c r="J230" s="1650"/>
      <c r="K230" s="1650"/>
      <c r="L230" s="1650"/>
      <c r="N230" s="1169"/>
      <c r="O230" s="1645"/>
      <c r="P230" s="1645"/>
      <c r="Q230" s="1169"/>
      <c r="R230" s="1169"/>
      <c r="S230" s="1169"/>
      <c r="T230" s="1169"/>
      <c r="U230" s="1645"/>
      <c r="V230" s="1169"/>
      <c r="W230" s="1169"/>
      <c r="X230" s="553"/>
      <c r="Y230" s="1169"/>
      <c r="Z230" s="1169"/>
      <c r="AA230" s="1169"/>
      <c r="AB230" s="1169"/>
      <c r="AC230" s="1169"/>
      <c r="AD230" s="1641"/>
      <c r="AE230" s="575"/>
      <c r="AF230" s="575"/>
      <c r="AG230" s="575"/>
      <c r="AH230" s="575"/>
      <c r="AI230" s="1650">
        <v>11</v>
      </c>
    </row>
    <row s="1650" customFormat="1" customHeight="1" ht="11.549999999999999">
      <c r="A231" s="996"/>
      <c r="B231" s="1645"/>
      <c r="C231" s="1645"/>
      <c r="D231" s="360"/>
      <c r="J231" s="1650"/>
      <c r="K231" s="1650"/>
      <c r="L231" s="1650"/>
      <c r="N231" s="1169"/>
      <c r="O231" s="1645"/>
      <c r="P231" s="1645"/>
      <c r="Q231" s="1169"/>
      <c r="R231" s="1169"/>
      <c r="S231" s="1169"/>
      <c r="T231" s="1169"/>
      <c r="U231" s="1645"/>
      <c r="V231" s="1169"/>
      <c r="W231" s="1169"/>
      <c r="X231" s="553"/>
      <c r="Y231" s="1169"/>
      <c r="Z231" s="1169"/>
      <c r="AA231" s="1169"/>
      <c r="AB231" s="1169"/>
      <c r="AC231" s="1169"/>
      <c r="AD231" s="1641"/>
      <c r="AE231" s="575"/>
      <c r="AF231" s="575"/>
      <c r="AG231" s="575"/>
      <c r="AH231" s="575"/>
      <c r="AI231" s="1650">
        <v>11</v>
      </c>
    </row>
    <row s="1650" customFormat="1" customHeight="1" ht="11.549999999999999">
      <c r="A232" s="996"/>
      <c r="B232" s="1645"/>
      <c r="C232" s="1645"/>
      <c r="D232" s="360"/>
      <c r="J232" s="1650"/>
      <c r="K232" s="1650"/>
      <c r="L232" s="1650"/>
      <c r="N232" s="1169"/>
      <c r="O232" s="1645"/>
      <c r="P232" s="1645"/>
      <c r="Q232" s="1169"/>
      <c r="R232" s="1169"/>
      <c r="S232" s="1169"/>
      <c r="T232" s="1169"/>
      <c r="U232" s="1645"/>
      <c r="V232" s="1169"/>
      <c r="W232" s="1169"/>
      <c r="X232" s="553"/>
      <c r="Y232" s="1169"/>
      <c r="Z232" s="1169"/>
      <c r="AA232" s="1169"/>
      <c r="AB232" s="1169"/>
      <c r="AC232" s="1169"/>
      <c r="AD232" s="1641"/>
      <c r="AE232" s="575"/>
      <c r="AF232" s="575"/>
      <c r="AG232" s="575"/>
      <c r="AH232" s="575"/>
      <c r="AI232" s="1650">
        <v>11</v>
      </c>
    </row>
    <row s="1650" customFormat="1" customHeight="1" ht="11.549999999999999">
      <c r="A233" s="996"/>
      <c r="B233" s="1645"/>
      <c r="C233" s="1645"/>
      <c r="D233" s="360"/>
      <c r="J233" s="1650"/>
      <c r="K233" s="1650"/>
      <c r="L233" s="1650"/>
      <c r="N233" s="1169"/>
      <c r="O233" s="1645"/>
      <c r="P233" s="1645"/>
      <c r="Q233" s="1169"/>
      <c r="R233" s="1169"/>
      <c r="S233" s="1169"/>
      <c r="T233" s="1169"/>
      <c r="U233" s="1645"/>
      <c r="V233" s="1169"/>
      <c r="W233" s="1169"/>
      <c r="X233" s="553"/>
      <c r="Y233" s="1169"/>
      <c r="Z233" s="1169"/>
      <c r="AA233" s="1169"/>
      <c r="AB233" s="1169"/>
      <c r="AC233" s="1169"/>
      <c r="AD233" s="1641"/>
      <c r="AE233" s="575"/>
      <c r="AF233" s="575"/>
      <c r="AG233" s="575"/>
      <c r="AH233" s="575"/>
      <c r="AI233" s="1650">
        <v>11</v>
      </c>
    </row>
    <row s="1650" customFormat="1" customHeight="1" ht="11.549999999999999">
      <c r="A234" s="996"/>
      <c r="B234" s="1645"/>
      <c r="C234" s="1645"/>
      <c r="D234" s="360"/>
      <c r="J234" s="1650"/>
      <c r="K234" s="1650"/>
      <c r="L234" s="1650"/>
      <c r="N234" s="1169"/>
      <c r="O234" s="1645"/>
      <c r="P234" s="1645"/>
      <c r="Q234" s="1169"/>
      <c r="R234" s="1169"/>
      <c r="S234" s="1169"/>
      <c r="T234" s="1169"/>
      <c r="U234" s="1645"/>
      <c r="V234" s="1169"/>
      <c r="W234" s="1169"/>
      <c r="X234" s="553"/>
      <c r="Y234" s="1169"/>
      <c r="Z234" s="1169"/>
      <c r="AA234" s="1169"/>
      <c r="AB234" s="1169"/>
      <c r="AC234" s="1169"/>
      <c r="AD234" s="1641"/>
      <c r="AE234" s="575"/>
      <c r="AF234" s="575"/>
      <c r="AG234" s="575"/>
      <c r="AH234" s="575"/>
      <c r="AI234" s="1650">
        <v>11</v>
      </c>
    </row>
    <row s="1650" customFormat="1" customHeight="1" ht="11.549999999999999">
      <c r="A235" s="996"/>
      <c r="B235" s="1645"/>
      <c r="C235" s="1645"/>
      <c r="D235" s="360"/>
      <c r="J235" s="1650"/>
      <c r="K235" s="1650"/>
      <c r="L235" s="1650"/>
      <c r="N235" s="1169"/>
      <c r="O235" s="1645"/>
      <c r="P235" s="1645"/>
      <c r="Q235" s="1169"/>
      <c r="R235" s="1169"/>
      <c r="S235" s="1169"/>
      <c r="T235" s="1169"/>
      <c r="U235" s="1645"/>
      <c r="V235" s="1169"/>
      <c r="W235" s="1169"/>
      <c r="X235" s="553"/>
      <c r="Y235" s="1169"/>
      <c r="Z235" s="1169"/>
      <c r="AA235" s="1169"/>
      <c r="AB235" s="1169"/>
      <c r="AC235" s="1169"/>
      <c r="AD235" s="1641"/>
      <c r="AE235" s="575"/>
      <c r="AF235" s="575"/>
      <c r="AG235" s="575"/>
      <c r="AH235" s="575"/>
      <c r="AI235" s="1650">
        <v>11</v>
      </c>
    </row>
    <row s="1650" customFormat="1" customHeight="1" ht="11.549999999999999">
      <c r="A236" s="996"/>
      <c r="B236" s="1645"/>
      <c r="C236" s="1645"/>
      <c r="D236" s="360"/>
      <c r="J236" s="1650"/>
      <c r="K236" s="1650"/>
      <c r="L236" s="1650"/>
      <c r="N236" s="1169"/>
      <c r="O236" s="1645"/>
      <c r="P236" s="1645"/>
      <c r="Q236" s="1169"/>
      <c r="R236" s="1169"/>
      <c r="S236" s="1169"/>
      <c r="T236" s="1169"/>
      <c r="U236" s="1645"/>
      <c r="V236" s="1169"/>
      <c r="W236" s="1169"/>
      <c r="X236" s="553"/>
      <c r="Y236" s="1169"/>
      <c r="Z236" s="1169"/>
      <c r="AA236" s="1169"/>
      <c r="AB236" s="1169"/>
      <c r="AC236" s="1169"/>
      <c r="AD236" s="1641"/>
      <c r="AE236" s="575"/>
      <c r="AF236" s="575"/>
      <c r="AG236" s="575"/>
      <c r="AH236" s="575"/>
      <c r="AI236" s="1650">
        <v>11</v>
      </c>
    </row>
    <row s="1650" customFormat="1" customHeight="1" ht="11.549999999999999">
      <c r="A237" s="996"/>
      <c r="B237" s="1645"/>
      <c r="C237" s="1645"/>
      <c r="D237" s="360"/>
      <c r="J237" s="1650"/>
      <c r="K237" s="1650"/>
      <c r="L237" s="1650"/>
      <c r="N237" s="1169"/>
      <c r="O237" s="1645"/>
      <c r="P237" s="1645"/>
      <c r="Q237" s="1169"/>
      <c r="R237" s="1169"/>
      <c r="S237" s="1169"/>
      <c r="T237" s="1169"/>
      <c r="U237" s="1645"/>
      <c r="V237" s="1169"/>
      <c r="W237" s="1169"/>
      <c r="X237" s="553"/>
      <c r="Y237" s="1169"/>
      <c r="Z237" s="1169"/>
      <c r="AA237" s="1169"/>
      <c r="AB237" s="1169"/>
      <c r="AC237" s="1169"/>
      <c r="AD237" s="1641"/>
      <c r="AE237" s="575"/>
      <c r="AF237" s="575"/>
      <c r="AG237" s="575"/>
      <c r="AH237" s="575"/>
      <c r="AI237" s="1650">
        <v>11</v>
      </c>
    </row>
    <row s="1650" customFormat="1" customHeight="1" ht="11.549999999999999">
      <c r="A238" s="996"/>
      <c r="B238" s="1645"/>
      <c r="C238" s="1645"/>
      <c r="D238" s="360"/>
      <c r="J238" s="1650"/>
      <c r="K238" s="1650"/>
      <c r="L238" s="1650"/>
      <c r="N238" s="1169"/>
      <c r="O238" s="1645"/>
      <c r="P238" s="1645"/>
      <c r="Q238" s="1169"/>
      <c r="R238" s="1169"/>
      <c r="S238" s="1169"/>
      <c r="T238" s="1169"/>
      <c r="U238" s="1645"/>
      <c r="V238" s="1169"/>
      <c r="W238" s="1169"/>
      <c r="X238" s="553"/>
      <c r="Y238" s="1169"/>
      <c r="Z238" s="1169"/>
      <c r="AA238" s="1169"/>
      <c r="AB238" s="1169"/>
      <c r="AC238" s="1169"/>
      <c r="AD238" s="1641"/>
      <c r="AE238" s="575"/>
      <c r="AF238" s="575"/>
      <c r="AG238" s="575"/>
      <c r="AH238" s="575"/>
      <c r="AI238" s="1650">
        <v>11</v>
      </c>
    </row>
    <row s="1650" customFormat="1" customHeight="1" ht="11.549999999999999">
      <c r="A239" s="996"/>
      <c r="B239" s="1645"/>
      <c r="C239" s="1645"/>
      <c r="D239" s="360"/>
      <c r="J239" s="1650"/>
      <c r="K239" s="1650"/>
      <c r="L239" s="1650"/>
      <c r="N239" s="1169"/>
      <c r="O239" s="1645"/>
      <c r="P239" s="1645"/>
      <c r="Q239" s="1169"/>
      <c r="R239" s="1169"/>
      <c r="S239" s="1169"/>
      <c r="T239" s="1169"/>
      <c r="U239" s="1645"/>
      <c r="V239" s="1169"/>
      <c r="W239" s="1169"/>
      <c r="X239" s="553"/>
      <c r="Y239" s="1169"/>
      <c r="Z239" s="1169"/>
      <c r="AA239" s="1169"/>
      <c r="AB239" s="1169"/>
      <c r="AC239" s="1169"/>
      <c r="AD239" s="1641"/>
      <c r="AE239" s="575"/>
      <c r="AF239" s="575"/>
      <c r="AG239" s="575"/>
      <c r="AH239" s="575"/>
      <c r="AI239" s="1650">
        <v>11</v>
      </c>
    </row>
    <row s="1650" customFormat="1" customHeight="1" ht="11.549999999999999">
      <c r="A240" s="996"/>
      <c r="B240" s="1645"/>
      <c r="C240" s="1645"/>
      <c r="D240" s="360"/>
      <c r="J240" s="1650"/>
      <c r="K240" s="1650"/>
      <c r="L240" s="1650"/>
      <c r="N240" s="1169"/>
      <c r="O240" s="1645"/>
      <c r="P240" s="1645"/>
      <c r="Q240" s="1169"/>
      <c r="R240" s="1169"/>
      <c r="S240" s="1169"/>
      <c r="T240" s="1169"/>
      <c r="U240" s="1645"/>
      <c r="V240" s="1169"/>
      <c r="W240" s="1169"/>
      <c r="X240" s="553"/>
      <c r="Y240" s="1169"/>
      <c r="Z240" s="1169"/>
      <c r="AA240" s="1169"/>
      <c r="AB240" s="1169"/>
      <c r="AC240" s="1169"/>
      <c r="AD240" s="1641"/>
      <c r="AE240" s="575"/>
      <c r="AF240" s="575"/>
      <c r="AG240" s="575"/>
      <c r="AH240" s="575"/>
      <c r="AI240" s="1650">
        <v>11</v>
      </c>
    </row>
    <row s="1650" customFormat="1" customHeight="1" ht="11.549999999999999">
      <c r="A241" s="996"/>
      <c r="B241" s="1645"/>
      <c r="C241" s="1645"/>
      <c r="D241" s="360"/>
      <c r="J241" s="1650"/>
      <c r="K241" s="1650"/>
      <c r="L241" s="1650"/>
      <c r="N241" s="1169"/>
      <c r="O241" s="1645"/>
      <c r="P241" s="1645"/>
      <c r="Q241" s="1169"/>
      <c r="R241" s="1169"/>
      <c r="S241" s="1169"/>
      <c r="T241" s="1169"/>
      <c r="U241" s="1645"/>
      <c r="V241" s="1169"/>
      <c r="W241" s="1169"/>
      <c r="X241" s="553"/>
      <c r="Y241" s="1169"/>
      <c r="Z241" s="1169"/>
      <c r="AA241" s="1169"/>
      <c r="AB241" s="1169"/>
      <c r="AC241" s="1169"/>
      <c r="AD241" s="1641"/>
      <c r="AE241" s="575"/>
      <c r="AF241" s="575"/>
      <c r="AG241" s="575"/>
      <c r="AH241" s="575"/>
      <c r="AI241" s="1650">
        <v>11</v>
      </c>
    </row>
    <row s="1650" customFormat="1" customHeight="1" ht="11.549999999999999">
      <c r="A242" s="996"/>
      <c r="B242" s="1645"/>
      <c r="C242" s="1645"/>
      <c r="D242" s="360"/>
      <c r="J242" s="1650"/>
      <c r="K242" s="1650"/>
      <c r="L242" s="1650"/>
      <c r="N242" s="1169"/>
      <c r="O242" s="1645"/>
      <c r="P242" s="1645"/>
      <c r="Q242" s="1169"/>
      <c r="R242" s="1169"/>
      <c r="S242" s="1169"/>
      <c r="T242" s="1169"/>
      <c r="U242" s="1645"/>
      <c r="V242" s="1169"/>
      <c r="W242" s="1169"/>
      <c r="X242" s="553"/>
      <c r="Y242" s="1169"/>
      <c r="Z242" s="1169"/>
      <c r="AA242" s="1169"/>
      <c r="AB242" s="1169"/>
      <c r="AC242" s="1169"/>
      <c r="AD242" s="1641"/>
      <c r="AE242" s="575"/>
      <c r="AF242" s="575"/>
      <c r="AG242" s="575"/>
      <c r="AH242" s="575"/>
      <c r="AI242" s="1650">
        <v>11</v>
      </c>
    </row>
    <row s="1650" customFormat="1" customHeight="1" ht="11.549999999999999">
      <c r="A243" s="996"/>
      <c r="B243" s="1645"/>
      <c r="C243" s="1645"/>
      <c r="D243" s="360"/>
      <c r="J243" s="1650"/>
      <c r="K243" s="1650"/>
      <c r="L243" s="1650"/>
      <c r="N243" s="1169"/>
      <c r="O243" s="1645"/>
      <c r="P243" s="1645"/>
      <c r="Q243" s="1169"/>
      <c r="R243" s="1169"/>
      <c r="S243" s="1169"/>
      <c r="T243" s="1169"/>
      <c r="U243" s="1645"/>
      <c r="V243" s="1169"/>
      <c r="W243" s="1169"/>
      <c r="X243" s="553"/>
      <c r="Y243" s="1169"/>
      <c r="Z243" s="1169"/>
      <c r="AA243" s="1169"/>
      <c r="AB243" s="1169"/>
      <c r="AC243" s="1169"/>
      <c r="AD243" s="1641"/>
      <c r="AE243" s="575"/>
      <c r="AF243" s="575"/>
      <c r="AG243" s="575"/>
      <c r="AH243" s="575"/>
      <c r="AI243" s="1650">
        <v>11</v>
      </c>
    </row>
    <row s="1650" customFormat="1" customHeight="1" ht="11.549999999999999">
      <c r="A244" s="996"/>
      <c r="B244" s="1645"/>
      <c r="C244" s="1645"/>
      <c r="D244" s="360"/>
      <c r="J244" s="1650"/>
      <c r="K244" s="1650"/>
      <c r="L244" s="1650"/>
      <c r="N244" s="1169"/>
      <c r="O244" s="1645"/>
      <c r="P244" s="1645"/>
      <c r="Q244" s="1169"/>
      <c r="R244" s="1169"/>
      <c r="S244" s="1169"/>
      <c r="T244" s="1169"/>
      <c r="U244" s="1645"/>
      <c r="V244" s="1169"/>
      <c r="W244" s="1169"/>
      <c r="X244" s="553"/>
      <c r="Y244" s="1169"/>
      <c r="Z244" s="1169"/>
      <c r="AA244" s="1169"/>
      <c r="AB244" s="1169"/>
      <c r="AC244" s="1169"/>
      <c r="AD244" s="1641"/>
      <c r="AE244" s="575"/>
      <c r="AF244" s="575"/>
      <c r="AG244" s="575"/>
      <c r="AH244" s="575"/>
      <c r="AI244" s="1650">
        <v>11</v>
      </c>
    </row>
    <row s="1650" customFormat="1" customHeight="1" ht="11.549999999999999">
      <c r="A245" s="996"/>
      <c r="B245" s="1645"/>
      <c r="C245" s="1645"/>
      <c r="D245" s="360"/>
      <c r="J245" s="1650"/>
      <c r="K245" s="1650"/>
      <c r="L245" s="1650"/>
      <c r="N245" s="1169"/>
      <c r="O245" s="1645"/>
      <c r="P245" s="1645"/>
      <c r="Q245" s="1169"/>
      <c r="R245" s="1169"/>
      <c r="S245" s="1169"/>
      <c r="T245" s="1169"/>
      <c r="U245" s="1645"/>
      <c r="V245" s="1169"/>
      <c r="W245" s="1169"/>
      <c r="X245" s="553"/>
      <c r="Y245" s="1169"/>
      <c r="Z245" s="1169"/>
      <c r="AA245" s="1169"/>
      <c r="AB245" s="1169"/>
      <c r="AC245" s="1169"/>
      <c r="AD245" s="1641"/>
      <c r="AE245" s="575"/>
      <c r="AF245" s="575"/>
      <c r="AG245" s="575"/>
      <c r="AH245" s="575"/>
      <c r="AI245" s="1650">
        <v>11</v>
      </c>
    </row>
    <row s="1650" customFormat="1" customHeight="1" ht="11.549999999999999">
      <c r="A246" s="996"/>
      <c r="B246" s="1645"/>
      <c r="C246" s="1645"/>
      <c r="D246" s="360"/>
      <c r="J246" s="1650"/>
      <c r="K246" s="1650"/>
      <c r="L246" s="1650"/>
      <c r="N246" s="1169"/>
      <c r="O246" s="1645"/>
      <c r="P246" s="1645"/>
      <c r="Q246" s="1169"/>
      <c r="R246" s="1169"/>
      <c r="S246" s="1169"/>
      <c r="T246" s="1169"/>
      <c r="U246" s="1645"/>
      <c r="V246" s="1169"/>
      <c r="W246" s="1169"/>
      <c r="X246" s="553"/>
      <c r="Y246" s="1169"/>
      <c r="Z246" s="1169"/>
      <c r="AA246" s="1169"/>
      <c r="AB246" s="1169"/>
      <c r="AC246" s="1169"/>
      <c r="AD246" s="1641"/>
      <c r="AE246" s="575"/>
      <c r="AF246" s="575"/>
      <c r="AG246" s="575"/>
      <c r="AH246" s="575"/>
      <c r="AI246" s="1650">
        <v>11</v>
      </c>
    </row>
    <row s="1650" customFormat="1" customHeight="1" ht="11.549999999999999">
      <c r="A247" s="996"/>
      <c r="B247" s="1645"/>
      <c r="C247" s="1645"/>
      <c r="D247" s="360"/>
      <c r="J247" s="1650"/>
      <c r="K247" s="1650"/>
      <c r="L247" s="1650"/>
      <c r="N247" s="1169"/>
      <c r="O247" s="1645"/>
      <c r="P247" s="1645"/>
      <c r="Q247" s="1169"/>
      <c r="R247" s="1169"/>
      <c r="S247" s="1169"/>
      <c r="T247" s="1169"/>
      <c r="U247" s="1645"/>
      <c r="V247" s="1169"/>
      <c r="W247" s="1169"/>
      <c r="X247" s="553"/>
      <c r="Y247" s="1169"/>
      <c r="Z247" s="1169"/>
      <c r="AA247" s="1169"/>
      <c r="AB247" s="1169"/>
      <c r="AC247" s="1169"/>
      <c r="AD247" s="1641"/>
      <c r="AE247" s="575"/>
      <c r="AF247" s="575"/>
      <c r="AG247" s="575"/>
      <c r="AH247" s="575"/>
      <c r="AI247" s="1650">
        <v>11</v>
      </c>
    </row>
    <row s="1650" customFormat="1" customHeight="1" ht="11.549999999999999">
      <c r="A248" s="996"/>
      <c r="B248" s="1645"/>
      <c r="C248" s="1645"/>
      <c r="D248" s="360"/>
      <c r="J248" s="1650"/>
      <c r="K248" s="1650"/>
      <c r="L248" s="1650"/>
      <c r="N248" s="1169"/>
      <c r="O248" s="1645"/>
      <c r="P248" s="1645"/>
      <c r="Q248" s="1169"/>
      <c r="R248" s="1169"/>
      <c r="S248" s="1169"/>
      <c r="T248" s="1169"/>
      <c r="U248" s="1645"/>
      <c r="V248" s="1169"/>
      <c r="W248" s="1169"/>
      <c r="X248" s="553"/>
      <c r="Y248" s="1169"/>
      <c r="Z248" s="1169"/>
      <c r="AA248" s="1169"/>
      <c r="AB248" s="1169"/>
      <c r="AC248" s="1169"/>
      <c r="AD248" s="1641"/>
      <c r="AE248" s="575"/>
      <c r="AF248" s="575"/>
      <c r="AG248" s="575"/>
      <c r="AH248" s="575"/>
      <c r="AI248" s="1650">
        <v>11</v>
      </c>
    </row>
    <row s="1650" customFormat="1" customHeight="1" ht="11.549999999999999">
      <c r="A249" s="996"/>
      <c r="B249" s="1645"/>
      <c r="C249" s="1645"/>
      <c r="D249" s="360"/>
      <c r="J249" s="1650"/>
      <c r="K249" s="1650"/>
      <c r="L249" s="1650"/>
      <c r="N249" s="1169"/>
      <c r="O249" s="1645"/>
      <c r="P249" s="1645"/>
      <c r="Q249" s="1169"/>
      <c r="R249" s="1169"/>
      <c r="S249" s="1169"/>
      <c r="T249" s="1169"/>
      <c r="U249" s="1645"/>
      <c r="V249" s="1169"/>
      <c r="W249" s="1169"/>
      <c r="X249" s="553"/>
      <c r="Y249" s="1169"/>
      <c r="Z249" s="1169"/>
      <c r="AA249" s="1169"/>
      <c r="AB249" s="1169"/>
      <c r="AC249" s="1169"/>
      <c r="AD249" s="1641"/>
      <c r="AE249" s="575"/>
      <c r="AF249" s="575"/>
      <c r="AG249" s="575"/>
      <c r="AH249" s="575"/>
      <c r="AI249" s="1650">
        <v>11</v>
      </c>
    </row>
    <row s="1650" customFormat="1" customHeight="1" ht="11.549999999999999">
      <c r="A250" s="996"/>
      <c r="B250" s="1645"/>
      <c r="C250" s="1645"/>
      <c r="D250" s="360"/>
      <c r="J250" s="1650"/>
      <c r="K250" s="1650"/>
      <c r="L250" s="1650"/>
      <c r="N250" s="1169"/>
      <c r="O250" s="1645"/>
      <c r="P250" s="1645"/>
      <c r="Q250" s="1169"/>
      <c r="R250" s="1169"/>
      <c r="S250" s="1169"/>
      <c r="T250" s="1169"/>
      <c r="U250" s="1645"/>
      <c r="V250" s="1169"/>
      <c r="W250" s="1169"/>
      <c r="X250" s="553"/>
      <c r="Y250" s="1169"/>
      <c r="Z250" s="1169"/>
      <c r="AA250" s="1169"/>
      <c r="AB250" s="1169"/>
      <c r="AC250" s="1169"/>
      <c r="AD250" s="1641"/>
      <c r="AE250" s="575"/>
      <c r="AF250" s="575"/>
      <c r="AG250" s="575"/>
      <c r="AH250" s="575"/>
      <c r="AI250" s="1650">
        <v>11</v>
      </c>
    </row>
    <row s="1650" customFormat="1" customHeight="1" ht="11.549999999999999">
      <c r="A251" s="996"/>
      <c r="B251" s="1645"/>
      <c r="C251" s="1645"/>
      <c r="D251" s="360"/>
      <c r="J251" s="1650"/>
      <c r="K251" s="1650"/>
      <c r="L251" s="1650"/>
      <c r="N251" s="1169"/>
      <c r="O251" s="1645"/>
      <c r="P251" s="1645"/>
      <c r="Q251" s="1169"/>
      <c r="R251" s="1169"/>
      <c r="S251" s="1169"/>
      <c r="T251" s="1169"/>
      <c r="U251" s="1645"/>
      <c r="V251" s="1169"/>
      <c r="W251" s="1169"/>
      <c r="X251" s="553"/>
      <c r="Y251" s="1169"/>
      <c r="Z251" s="1169"/>
      <c r="AA251" s="1169"/>
      <c r="AB251" s="1169"/>
      <c r="AC251" s="1169"/>
      <c r="AD251" s="1641"/>
      <c r="AE251" s="575"/>
      <c r="AF251" s="575"/>
      <c r="AG251" s="575"/>
      <c r="AH251" s="575"/>
      <c r="AI251" s="1650">
        <v>11</v>
      </c>
    </row>
    <row s="1650" customFormat="1" customHeight="1" ht="11.549999999999999">
      <c r="A252" s="996"/>
      <c r="B252" s="1645"/>
      <c r="C252" s="1645"/>
      <c r="D252" s="360"/>
      <c r="J252" s="1650"/>
      <c r="K252" s="1650"/>
      <c r="L252" s="1650"/>
      <c r="N252" s="1169"/>
      <c r="O252" s="1645"/>
      <c r="P252" s="1645"/>
      <c r="Q252" s="1169"/>
      <c r="R252" s="1169"/>
      <c r="S252" s="1169"/>
      <c r="T252" s="1169"/>
      <c r="U252" s="1645"/>
      <c r="V252" s="1169"/>
      <c r="W252" s="1169"/>
      <c r="X252" s="553"/>
      <c r="Y252" s="1169"/>
      <c r="Z252" s="1169"/>
      <c r="AA252" s="1169"/>
      <c r="AB252" s="1169"/>
      <c r="AC252" s="1169"/>
      <c r="AD252" s="1641"/>
      <c r="AE252" s="575"/>
      <c r="AF252" s="575"/>
      <c r="AG252" s="575"/>
      <c r="AH252" s="575"/>
      <c r="AI252" s="1650">
        <v>11</v>
      </c>
    </row>
    <row s="1650" customFormat="1" customHeight="1" ht="11.549999999999999">
      <c r="A253" s="996"/>
      <c r="B253" s="1645"/>
      <c r="C253" s="1645"/>
      <c r="D253" s="360"/>
      <c r="J253" s="1650"/>
      <c r="K253" s="1650"/>
      <c r="L253" s="1650"/>
      <c r="N253" s="1169"/>
      <c r="O253" s="1645"/>
      <c r="P253" s="1645"/>
      <c r="Q253" s="1169"/>
      <c r="R253" s="1169"/>
      <c r="S253" s="1169"/>
      <c r="T253" s="1169"/>
      <c r="U253" s="1645"/>
      <c r="V253" s="1169"/>
      <c r="W253" s="1169"/>
      <c r="X253" s="553"/>
      <c r="Y253" s="1169"/>
      <c r="Z253" s="1169"/>
      <c r="AA253" s="1169"/>
      <c r="AB253" s="1169"/>
      <c r="AC253" s="1169"/>
      <c r="AD253" s="1641"/>
      <c r="AE253" s="575"/>
      <c r="AF253" s="575"/>
      <c r="AG253" s="575"/>
      <c r="AH253" s="575"/>
      <c r="AI253" s="1650">
        <v>11</v>
      </c>
    </row>
    <row s="1650" customFormat="1" customHeight="1" ht="11.549999999999999">
      <c r="A254" s="996"/>
      <c r="B254" s="1645"/>
      <c r="C254" s="1645"/>
      <c r="D254" s="360"/>
      <c r="J254" s="1650"/>
      <c r="K254" s="1650"/>
      <c r="L254" s="1650"/>
      <c r="N254" s="1169"/>
      <c r="O254" s="1645"/>
      <c r="P254" s="1645"/>
      <c r="Q254" s="1169"/>
      <c r="R254" s="1169"/>
      <c r="S254" s="1169"/>
      <c r="T254" s="1169"/>
      <c r="U254" s="1645"/>
      <c r="V254" s="1169"/>
      <c r="W254" s="1169"/>
      <c r="X254" s="553"/>
      <c r="Y254" s="1169"/>
      <c r="Z254" s="1169"/>
      <c r="AA254" s="1169"/>
      <c r="AB254" s="1169"/>
      <c r="AC254" s="1169"/>
      <c r="AD254" s="1641"/>
      <c r="AE254" s="575"/>
      <c r="AF254" s="575"/>
      <c r="AG254" s="575"/>
      <c r="AH254" s="575"/>
      <c r="AI254" s="1650">
        <v>11</v>
      </c>
    </row>
    <row s="1650" customFormat="1" customHeight="1" ht="11.549999999999999">
      <c r="A255" s="996"/>
      <c r="B255" s="1645"/>
      <c r="C255" s="1645"/>
      <c r="D255" s="360"/>
      <c r="J255" s="1650"/>
      <c r="K255" s="1650"/>
      <c r="L255" s="1650"/>
      <c r="N255" s="1169"/>
      <c r="O255" s="1645"/>
      <c r="P255" s="1645"/>
      <c r="Q255" s="1169"/>
      <c r="R255" s="1169"/>
      <c r="S255" s="1169"/>
      <c r="T255" s="1169"/>
      <c r="U255" s="1645"/>
      <c r="V255" s="1169"/>
      <c r="W255" s="1169"/>
      <c r="X255" s="553"/>
      <c r="Y255" s="1169"/>
      <c r="Z255" s="1169"/>
      <c r="AA255" s="1169"/>
      <c r="AB255" s="1169"/>
      <c r="AC255" s="1169"/>
      <c r="AD255" s="1641"/>
      <c r="AE255" s="575"/>
      <c r="AF255" s="575"/>
      <c r="AG255" s="575"/>
      <c r="AH255" s="575"/>
      <c r="AI255" s="1650">
        <v>11</v>
      </c>
    </row>
    <row s="1650" customFormat="1" customHeight="1" ht="11.549999999999999">
      <c r="A256" s="996"/>
      <c r="B256" s="1645"/>
      <c r="C256" s="1645"/>
      <c r="D256" s="360"/>
      <c r="J256" s="1650"/>
      <c r="K256" s="1650"/>
      <c r="L256" s="1650"/>
      <c r="N256" s="1169"/>
      <c r="O256" s="1645"/>
      <c r="P256" s="1645"/>
      <c r="Q256" s="1169"/>
      <c r="R256" s="1169"/>
      <c r="S256" s="1169"/>
      <c r="T256" s="1169"/>
      <c r="U256" s="1645"/>
      <c r="V256" s="1169"/>
      <c r="W256" s="1169"/>
      <c r="X256" s="553"/>
      <c r="Y256" s="1169"/>
      <c r="Z256" s="1169"/>
      <c r="AA256" s="1169"/>
      <c r="AB256" s="1169"/>
      <c r="AC256" s="1169"/>
      <c r="AD256" s="1641"/>
      <c r="AE256" s="575"/>
      <c r="AF256" s="575"/>
      <c r="AG256" s="575"/>
      <c r="AH256" s="575"/>
      <c r="AI256" s="1650">
        <v>11</v>
      </c>
    </row>
    <row s="1650" customFormat="1" customHeight="1" ht="11.549999999999999">
      <c r="A257" s="996"/>
      <c r="B257" s="1645"/>
      <c r="C257" s="1645"/>
      <c r="D257" s="360"/>
      <c r="J257" s="1650"/>
      <c r="K257" s="1650"/>
      <c r="L257" s="1650"/>
      <c r="N257" s="1169"/>
      <c r="O257" s="1645"/>
      <c r="P257" s="1645"/>
      <c r="Q257" s="1169"/>
      <c r="R257" s="1169"/>
      <c r="S257" s="1169"/>
      <c r="T257" s="1169"/>
      <c r="U257" s="1645"/>
      <c r="V257" s="1169"/>
      <c r="W257" s="1169"/>
      <c r="X257" s="553"/>
      <c r="Y257" s="1169"/>
      <c r="Z257" s="1169"/>
      <c r="AA257" s="1169"/>
      <c r="AB257" s="1169"/>
      <c r="AC257" s="1169"/>
      <c r="AD257" s="1641"/>
      <c r="AE257" s="575"/>
      <c r="AF257" s="575"/>
      <c r="AG257" s="575"/>
      <c r="AH257" s="575"/>
      <c r="AI257" s="1650">
        <v>11</v>
      </c>
    </row>
    <row s="1650" customFormat="1" customHeight="1" ht="11.549999999999999">
      <c r="A258" s="996"/>
      <c r="B258" s="1645"/>
      <c r="C258" s="1645"/>
      <c r="D258" s="360"/>
      <c r="J258" s="1650"/>
      <c r="K258" s="1650"/>
      <c r="L258" s="1650"/>
      <c r="N258" s="1169"/>
      <c r="O258" s="1645"/>
      <c r="P258" s="1645"/>
      <c r="Q258" s="1169"/>
      <c r="R258" s="1169"/>
      <c r="S258" s="1169"/>
      <c r="T258" s="1169"/>
      <c r="U258" s="1645"/>
      <c r="V258" s="1169"/>
      <c r="W258" s="1169"/>
      <c r="X258" s="553"/>
      <c r="Y258" s="1169"/>
      <c r="Z258" s="1169"/>
      <c r="AA258" s="1169"/>
      <c r="AB258" s="1169"/>
      <c r="AC258" s="1169"/>
      <c r="AD258" s="1641"/>
      <c r="AE258" s="575"/>
      <c r="AF258" s="575"/>
      <c r="AG258" s="575"/>
      <c r="AH258" s="575"/>
      <c r="AI258" s="1650">
        <v>11</v>
      </c>
    </row>
    <row s="1650" customFormat="1" customHeight="1" ht="11.549999999999999">
      <c r="A259" s="996"/>
      <c r="B259" s="1645"/>
      <c r="C259" s="1645"/>
      <c r="D259" s="360"/>
      <c r="J259" s="1650"/>
      <c r="K259" s="1650"/>
      <c r="L259" s="1650"/>
      <c r="N259" s="1169"/>
      <c r="O259" s="1645"/>
      <c r="P259" s="1645"/>
      <c r="Q259" s="1169"/>
      <c r="R259" s="1169"/>
      <c r="S259" s="1169"/>
      <c r="T259" s="1169"/>
      <c r="U259" s="1645"/>
      <c r="V259" s="1169"/>
      <c r="W259" s="1169"/>
      <c r="X259" s="553"/>
      <c r="Y259" s="1169"/>
      <c r="Z259" s="1169"/>
      <c r="AA259" s="1169"/>
      <c r="AB259" s="1169"/>
      <c r="AC259" s="1169"/>
      <c r="AD259" s="1641"/>
      <c r="AE259" s="575"/>
      <c r="AF259" s="575"/>
      <c r="AG259" s="575"/>
      <c r="AH259" s="575"/>
      <c r="AI259" s="1650">
        <v>11</v>
      </c>
    </row>
    <row s="1650" customFormat="1" customHeight="1" ht="11.549999999999999">
      <c r="A260" s="996"/>
      <c r="B260" s="1645"/>
      <c r="C260" s="1645"/>
      <c r="D260" s="360"/>
      <c r="J260" s="1650"/>
      <c r="K260" s="1650"/>
      <c r="L260" s="1650"/>
      <c r="N260" s="1169"/>
      <c r="O260" s="1645"/>
      <c r="P260" s="1645"/>
      <c r="Q260" s="1169"/>
      <c r="R260" s="1169"/>
      <c r="S260" s="1169"/>
      <c r="T260" s="1169"/>
      <c r="U260" s="1645"/>
      <c r="V260" s="1169"/>
      <c r="W260" s="1169"/>
      <c r="X260" s="553"/>
      <c r="Y260" s="1169"/>
      <c r="Z260" s="1169"/>
      <c r="AA260" s="1169"/>
      <c r="AB260" s="1169"/>
      <c r="AC260" s="1169"/>
      <c r="AD260" s="1641"/>
      <c r="AE260" s="575"/>
      <c r="AF260" s="575"/>
      <c r="AG260" s="575"/>
      <c r="AH260" s="575"/>
      <c r="AI260" s="1650">
        <v>11</v>
      </c>
    </row>
    <row s="1650" customFormat="1" customHeight="1" ht="11.549999999999999">
      <c r="A261" s="996"/>
      <c r="B261" s="1645"/>
      <c r="C261" s="1645"/>
      <c r="D261" s="360"/>
      <c r="J261" s="1650"/>
      <c r="K261" s="1650"/>
      <c r="L261" s="1650"/>
      <c r="N261" s="1169"/>
      <c r="O261" s="1645"/>
      <c r="P261" s="1645"/>
      <c r="Q261" s="1169"/>
      <c r="R261" s="1169"/>
      <c r="S261" s="1169"/>
      <c r="T261" s="1169"/>
      <c r="U261" s="1645"/>
      <c r="V261" s="1169"/>
      <c r="W261" s="1169"/>
      <c r="X261" s="553"/>
      <c r="Y261" s="1169"/>
      <c r="Z261" s="1169"/>
      <c r="AA261" s="1169"/>
      <c r="AB261" s="1169"/>
      <c r="AC261" s="1169"/>
      <c r="AD261" s="1641"/>
      <c r="AE261" s="575"/>
      <c r="AF261" s="575"/>
      <c r="AG261" s="575"/>
      <c r="AH261" s="575"/>
      <c r="AI261" s="1650">
        <v>11</v>
      </c>
    </row>
    <row s="1650" customFormat="1" customHeight="1" ht="11.549999999999999">
      <c r="A262" s="996"/>
      <c r="B262" s="1645"/>
      <c r="C262" s="1645"/>
      <c r="D262" s="360"/>
      <c r="J262" s="1650"/>
      <c r="K262" s="1650"/>
      <c r="L262" s="1650"/>
      <c r="N262" s="1169"/>
      <c r="O262" s="1645"/>
      <c r="P262" s="1645"/>
      <c r="Q262" s="1169"/>
      <c r="R262" s="1169"/>
      <c r="S262" s="1169"/>
      <c r="T262" s="1169"/>
      <c r="U262" s="1645"/>
      <c r="V262" s="1169"/>
      <c r="W262" s="1169"/>
      <c r="X262" s="553"/>
      <c r="Y262" s="1169"/>
      <c r="Z262" s="1169"/>
      <c r="AA262" s="1169"/>
      <c r="AB262" s="1169"/>
      <c r="AC262" s="1169"/>
      <c r="AD262" s="1641"/>
      <c r="AE262" s="575"/>
      <c r="AF262" s="575"/>
      <c r="AG262" s="575"/>
      <c r="AH262" s="575"/>
      <c r="AI262" s="1650">
        <v>11</v>
      </c>
    </row>
    <row s="1650" customFormat="1" customHeight="1" ht="11.549999999999999">
      <c r="A263" s="996"/>
      <c r="B263" s="1645"/>
      <c r="C263" s="1645"/>
      <c r="D263" s="360"/>
      <c r="J263" s="1650"/>
      <c r="K263" s="1650"/>
      <c r="L263" s="1650"/>
      <c r="N263" s="1169"/>
      <c r="O263" s="1645"/>
      <c r="P263" s="1645"/>
      <c r="Q263" s="1169"/>
      <c r="R263" s="1169"/>
      <c r="S263" s="1169"/>
      <c r="T263" s="1169"/>
      <c r="U263" s="1645"/>
      <c r="V263" s="1169"/>
      <c r="W263" s="1169"/>
      <c r="X263" s="553"/>
      <c r="Y263" s="1169"/>
      <c r="Z263" s="1169"/>
      <c r="AA263" s="1169"/>
      <c r="AB263" s="1169"/>
      <c r="AC263" s="1169"/>
      <c r="AD263" s="1641"/>
      <c r="AE263" s="575"/>
      <c r="AF263" s="575"/>
      <c r="AG263" s="575"/>
      <c r="AH263" s="575"/>
      <c r="AI263" s="1650">
        <v>11</v>
      </c>
    </row>
    <row s="1650" customFormat="1" customHeight="1" ht="11.549999999999999">
      <c r="A264" s="996"/>
      <c r="B264" s="1645"/>
      <c r="C264" s="1645"/>
      <c r="D264" s="360"/>
      <c r="J264" s="1650"/>
      <c r="K264" s="1650"/>
      <c r="L264" s="1650"/>
      <c r="N264" s="1169"/>
      <c r="O264" s="1645"/>
      <c r="P264" s="1645"/>
      <c r="Q264" s="1169"/>
      <c r="R264" s="1169"/>
      <c r="S264" s="1169"/>
      <c r="T264" s="1169"/>
      <c r="U264" s="1645"/>
      <c r="V264" s="1169"/>
      <c r="W264" s="1169"/>
      <c r="X264" s="553"/>
      <c r="Y264" s="1169"/>
      <c r="Z264" s="1169"/>
      <c r="AA264" s="1169"/>
      <c r="AB264" s="1169"/>
      <c r="AC264" s="1169"/>
      <c r="AD264" s="1641"/>
      <c r="AE264" s="575"/>
      <c r="AF264" s="575"/>
      <c r="AG264" s="575"/>
      <c r="AH264" s="575"/>
      <c r="AI264" s="1650">
        <v>11</v>
      </c>
    </row>
    <row s="1650" customFormat="1" customHeight="1" ht="11.549999999999999">
      <c r="A265" s="996"/>
      <c r="B265" s="1645"/>
      <c r="C265" s="1645"/>
      <c r="D265" s="360"/>
      <c r="J265" s="1650"/>
      <c r="K265" s="1650"/>
      <c r="L265" s="1650"/>
      <c r="N265" s="1169"/>
      <c r="O265" s="1645"/>
      <c r="P265" s="1645"/>
      <c r="Q265" s="1169"/>
      <c r="R265" s="1169"/>
      <c r="S265" s="1169"/>
      <c r="T265" s="1169"/>
      <c r="U265" s="1645"/>
      <c r="V265" s="1169"/>
      <c r="W265" s="1169"/>
      <c r="X265" s="553"/>
      <c r="Y265" s="1169"/>
      <c r="Z265" s="1169"/>
      <c r="AA265" s="1169"/>
      <c r="AB265" s="1169"/>
      <c r="AC265" s="1169"/>
      <c r="AD265" s="1641"/>
      <c r="AE265" s="575"/>
      <c r="AF265" s="575"/>
      <c r="AG265" s="575"/>
      <c r="AH265" s="575"/>
      <c r="AI265" s="1650">
        <v>11</v>
      </c>
    </row>
    <row s="1650" customFormat="1" customHeight="1" ht="11.549999999999999">
      <c r="A266" s="996"/>
      <c r="B266" s="1645"/>
      <c r="C266" s="1645"/>
      <c r="D266" s="360"/>
      <c r="J266" s="1650"/>
      <c r="K266" s="1650"/>
      <c r="L266" s="1650"/>
      <c r="N266" s="1169"/>
      <c r="O266" s="1645"/>
      <c r="P266" s="1645"/>
      <c r="Q266" s="1169"/>
      <c r="R266" s="1169"/>
      <c r="S266" s="1169"/>
      <c r="T266" s="1169"/>
      <c r="U266" s="1645"/>
      <c r="V266" s="1169"/>
      <c r="W266" s="1169"/>
      <c r="X266" s="553"/>
      <c r="Y266" s="1169"/>
      <c r="Z266" s="1169"/>
      <c r="AA266" s="1169"/>
      <c r="AB266" s="1169"/>
      <c r="AC266" s="1169"/>
      <c r="AD266" s="1641"/>
      <c r="AE266" s="575"/>
      <c r="AF266" s="575"/>
      <c r="AG266" s="575"/>
      <c r="AH266" s="575"/>
      <c r="AI266" s="1650">
        <v>11</v>
      </c>
    </row>
    <row s="1650" customFormat="1" customHeight="1" ht="11.549999999999999">
      <c r="A267" s="996"/>
      <c r="B267" s="1645"/>
      <c r="C267" s="1645"/>
      <c r="D267" s="360"/>
      <c r="J267" s="1650"/>
      <c r="K267" s="1650"/>
      <c r="L267" s="1650"/>
      <c r="N267" s="1169"/>
      <c r="O267" s="1645"/>
      <c r="P267" s="1645"/>
      <c r="Q267" s="1169"/>
      <c r="R267" s="1169"/>
      <c r="S267" s="1169"/>
      <c r="T267" s="1169"/>
      <c r="U267" s="1645"/>
      <c r="V267" s="1169"/>
      <c r="W267" s="1169"/>
      <c r="X267" s="553"/>
      <c r="Y267" s="1169"/>
      <c r="Z267" s="1169"/>
      <c r="AA267" s="1169"/>
      <c r="AB267" s="1169"/>
      <c r="AC267" s="1169"/>
      <c r="AD267" s="1641"/>
      <c r="AE267" s="575"/>
      <c r="AF267" s="575"/>
      <c r="AG267" s="575"/>
      <c r="AH267" s="575"/>
      <c r="AI267" s="1650">
        <v>11</v>
      </c>
    </row>
    <row s="1650" customFormat="1" customHeight="1" ht="11.549999999999999">
      <c r="A268" s="996"/>
      <c r="B268" s="1645"/>
      <c r="C268" s="1645"/>
      <c r="D268" s="360"/>
      <c r="J268" s="1650"/>
      <c r="K268" s="1650"/>
      <c r="L268" s="1650"/>
      <c r="N268" s="1169"/>
      <c r="O268" s="1645"/>
      <c r="P268" s="1645"/>
      <c r="Q268" s="1169"/>
      <c r="R268" s="1169"/>
      <c r="S268" s="1169"/>
      <c r="T268" s="1169"/>
      <c r="U268" s="1645"/>
      <c r="V268" s="1169"/>
      <c r="W268" s="1169"/>
      <c r="X268" s="553"/>
      <c r="Y268" s="1169"/>
      <c r="Z268" s="1169"/>
      <c r="AA268" s="1169"/>
      <c r="AB268" s="1169"/>
      <c r="AC268" s="1169"/>
      <c r="AD268" s="1641"/>
      <c r="AE268" s="575"/>
      <c r="AF268" s="575"/>
      <c r="AG268" s="575"/>
      <c r="AH268" s="575"/>
      <c r="AI268" s="1650">
        <v>11</v>
      </c>
    </row>
    <row s="1650" customFormat="1" customHeight="1" ht="11.549999999999999">
      <c r="A269" s="996"/>
      <c r="B269" s="1645"/>
      <c r="C269" s="1645"/>
      <c r="D269" s="360"/>
      <c r="J269" s="1650"/>
      <c r="K269" s="1650"/>
      <c r="L269" s="1650"/>
      <c r="N269" s="1169"/>
      <c r="O269" s="1645"/>
      <c r="P269" s="1645"/>
      <c r="Q269" s="1169"/>
      <c r="R269" s="1169"/>
      <c r="S269" s="1169"/>
      <c r="T269" s="1169"/>
      <c r="U269" s="1645"/>
      <c r="V269" s="1169"/>
      <c r="W269" s="1169"/>
      <c r="X269" s="553"/>
      <c r="Y269" s="1169"/>
      <c r="Z269" s="1169"/>
      <c r="AA269" s="1169"/>
      <c r="AB269" s="1169"/>
      <c r="AC269" s="1169"/>
      <c r="AD269" s="1641"/>
      <c r="AE269" s="575"/>
      <c r="AF269" s="575"/>
      <c r="AG269" s="575"/>
      <c r="AH269" s="575"/>
      <c r="AI269" s="1650">
        <v>11</v>
      </c>
    </row>
    <row s="1650" customFormat="1" customHeight="1" ht="11.549999999999999">
      <c r="A270" s="996"/>
      <c r="B270" s="1645"/>
      <c r="C270" s="1645"/>
      <c r="D270" s="360"/>
      <c r="J270" s="1650"/>
      <c r="K270" s="1650"/>
      <c r="L270" s="1650"/>
      <c r="N270" s="1169"/>
      <c r="O270" s="1645"/>
      <c r="P270" s="1645"/>
      <c r="Q270" s="1169"/>
      <c r="R270" s="1169"/>
      <c r="S270" s="1169"/>
      <c r="T270" s="1169"/>
      <c r="U270" s="1645"/>
      <c r="V270" s="1169"/>
      <c r="W270" s="1169"/>
      <c r="X270" s="553"/>
      <c r="Y270" s="1169"/>
      <c r="Z270" s="1169"/>
      <c r="AA270" s="1169"/>
      <c r="AB270" s="1169"/>
      <c r="AC270" s="1169"/>
      <c r="AD270" s="1641"/>
      <c r="AE270" s="575"/>
      <c r="AF270" s="575"/>
      <c r="AG270" s="575"/>
      <c r="AH270" s="575"/>
      <c r="AI270" s="1650">
        <v>11</v>
      </c>
    </row>
    <row s="1650" customFormat="1" customHeight="1" ht="11.549999999999999">
      <c r="A271" s="996"/>
      <c r="B271" s="1645"/>
      <c r="C271" s="1645"/>
      <c r="D271" s="360"/>
      <c r="J271" s="1650"/>
      <c r="K271" s="1650"/>
      <c r="L271" s="1650"/>
      <c r="N271" s="1169"/>
      <c r="O271" s="1645"/>
      <c r="P271" s="1645"/>
      <c r="Q271" s="1169"/>
      <c r="R271" s="1169"/>
      <c r="S271" s="1169"/>
      <c r="T271" s="1169"/>
      <c r="U271" s="1645"/>
      <c r="V271" s="1169"/>
      <c r="W271" s="1169"/>
      <c r="X271" s="553"/>
      <c r="Y271" s="1169"/>
      <c r="Z271" s="1169"/>
      <c r="AA271" s="1169"/>
      <c r="AB271" s="1169"/>
      <c r="AC271" s="1169"/>
      <c r="AD271" s="1641"/>
      <c r="AE271" s="575"/>
      <c r="AF271" s="575"/>
      <c r="AG271" s="575"/>
      <c r="AH271" s="575"/>
      <c r="AI271" s="1650">
        <v>11</v>
      </c>
    </row>
    <row s="1650" customFormat="1" customHeight="1" ht="11.549999999999999">
      <c r="A272" s="996"/>
      <c r="B272" s="1645"/>
      <c r="C272" s="1645"/>
      <c r="D272" s="360"/>
      <c r="J272" s="1650"/>
      <c r="K272" s="1650"/>
      <c r="L272" s="1650"/>
      <c r="N272" s="1169"/>
      <c r="O272" s="1645"/>
      <c r="P272" s="1645"/>
      <c r="Q272" s="1169"/>
      <c r="R272" s="1169"/>
      <c r="S272" s="1169"/>
      <c r="T272" s="1169"/>
      <c r="U272" s="1645"/>
      <c r="V272" s="1169"/>
      <c r="W272" s="1169"/>
      <c r="X272" s="553"/>
      <c r="Y272" s="1169"/>
      <c r="Z272" s="1169"/>
      <c r="AA272" s="1169"/>
      <c r="AB272" s="1169"/>
      <c r="AC272" s="1169"/>
      <c r="AD272" s="1641"/>
      <c r="AE272" s="575"/>
      <c r="AF272" s="575"/>
      <c r="AG272" s="575"/>
      <c r="AH272" s="575"/>
      <c r="AI272" s="1650">
        <v>11</v>
      </c>
    </row>
    <row s="1650" customFormat="1" customHeight="1" ht="11.549999999999999">
      <c r="A273" s="996"/>
      <c r="B273" s="1645"/>
      <c r="C273" s="1645"/>
      <c r="D273" s="360"/>
      <c r="J273" s="1650"/>
      <c r="K273" s="1650"/>
      <c r="L273" s="1650"/>
      <c r="N273" s="1169"/>
      <c r="O273" s="1645"/>
      <c r="P273" s="1645"/>
      <c r="Q273" s="1169"/>
      <c r="R273" s="1169"/>
      <c r="S273" s="1169"/>
      <c r="T273" s="1169"/>
      <c r="U273" s="1645"/>
      <c r="V273" s="1169"/>
      <c r="W273" s="1169"/>
      <c r="X273" s="553"/>
      <c r="Y273" s="1169"/>
      <c r="Z273" s="1169"/>
      <c r="AA273" s="1169"/>
      <c r="AB273" s="1169"/>
      <c r="AC273" s="1169"/>
      <c r="AD273" s="1641"/>
      <c r="AE273" s="575"/>
      <c r="AF273" s="575"/>
      <c r="AG273" s="575"/>
      <c r="AH273" s="575"/>
      <c r="AI273" s="1650">
        <v>11</v>
      </c>
    </row>
    <row s="1650" customFormat="1" customHeight="1" ht="11.549999999999999">
      <c r="A274" s="996"/>
      <c r="B274" s="1645"/>
      <c r="C274" s="1645"/>
      <c r="D274" s="360"/>
      <c r="J274" s="1650"/>
      <c r="K274" s="1650"/>
      <c r="L274" s="1650"/>
      <c r="N274" s="1169"/>
      <c r="O274" s="1645"/>
      <c r="P274" s="1645"/>
      <c r="Q274" s="1169"/>
      <c r="R274" s="1169"/>
      <c r="S274" s="1169"/>
      <c r="T274" s="1169"/>
      <c r="U274" s="1645"/>
      <c r="V274" s="1169"/>
      <c r="W274" s="1169"/>
      <c r="X274" s="553"/>
      <c r="Y274" s="1169"/>
      <c r="Z274" s="1169"/>
      <c r="AA274" s="1169"/>
      <c r="AB274" s="1169"/>
      <c r="AC274" s="1169"/>
      <c r="AD274" s="1641"/>
      <c r="AE274" s="575"/>
      <c r="AF274" s="575"/>
      <c r="AG274" s="575"/>
      <c r="AH274" s="575"/>
      <c r="AI274" s="1650">
        <v>11</v>
      </c>
    </row>
    <row s="1650" customFormat="1" customHeight="1" ht="11.549999999999999">
      <c r="A275" s="996"/>
      <c r="B275" s="1645"/>
      <c r="C275" s="1645"/>
      <c r="D275" s="360"/>
      <c r="J275" s="1650"/>
      <c r="K275" s="1650"/>
      <c r="L275" s="1650"/>
      <c r="N275" s="1169"/>
      <c r="O275" s="1645"/>
      <c r="P275" s="1645"/>
      <c r="Q275" s="1169"/>
      <c r="R275" s="1169"/>
      <c r="S275" s="1169"/>
      <c r="T275" s="1169"/>
      <c r="U275" s="1645"/>
      <c r="V275" s="1169"/>
      <c r="W275" s="1169"/>
      <c r="X275" s="553"/>
      <c r="Y275" s="1169"/>
      <c r="Z275" s="1169"/>
      <c r="AA275" s="1169"/>
      <c r="AB275" s="1169"/>
      <c r="AC275" s="1169"/>
      <c r="AD275" s="1641"/>
      <c r="AE275" s="575"/>
      <c r="AF275" s="575"/>
      <c r="AG275" s="575"/>
      <c r="AH275" s="575"/>
      <c r="AI275" s="1650">
        <v>11</v>
      </c>
    </row>
    <row s="1650" customFormat="1" customHeight="1" ht="11.549999999999999">
      <c r="A276" s="996"/>
      <c r="B276" s="1645"/>
      <c r="C276" s="1645"/>
      <c r="D276" s="360"/>
      <c r="J276" s="1650"/>
      <c r="K276" s="1650"/>
      <c r="L276" s="1650"/>
      <c r="N276" s="1169"/>
      <c r="O276" s="1645"/>
      <c r="P276" s="1645"/>
      <c r="Q276" s="1169"/>
      <c r="R276" s="1169"/>
      <c r="S276" s="1169"/>
      <c r="T276" s="1169"/>
      <c r="U276" s="1645"/>
      <c r="V276" s="1169"/>
      <c r="W276" s="1169"/>
      <c r="X276" s="553"/>
      <c r="Y276" s="1169"/>
      <c r="Z276" s="1169"/>
      <c r="AA276" s="1169"/>
      <c r="AB276" s="1169"/>
      <c r="AC276" s="1169"/>
      <c r="AD276" s="1641"/>
      <c r="AE276" s="575"/>
      <c r="AF276" s="575"/>
      <c r="AG276" s="575"/>
      <c r="AH276" s="575"/>
      <c r="AI276" s="1650">
        <v>11</v>
      </c>
    </row>
    <row s="1650" customFormat="1" customHeight="1" ht="11.549999999999999">
      <c r="A277" s="996"/>
      <c r="B277" s="1645"/>
      <c r="C277" s="1645"/>
      <c r="D277" s="360"/>
      <c r="J277" s="1650"/>
      <c r="K277" s="1650"/>
      <c r="L277" s="1650"/>
      <c r="N277" s="1169"/>
      <c r="O277" s="1645"/>
      <c r="P277" s="1645"/>
      <c r="Q277" s="1169"/>
      <c r="R277" s="1169"/>
      <c r="S277" s="1169"/>
      <c r="T277" s="1169"/>
      <c r="U277" s="1645"/>
      <c r="V277" s="1169"/>
      <c r="W277" s="1169"/>
      <c r="X277" s="553"/>
      <c r="Y277" s="1169"/>
      <c r="Z277" s="1169"/>
      <c r="AA277" s="1169"/>
      <c r="AB277" s="1169"/>
      <c r="AC277" s="1169"/>
      <c r="AD277" s="1641"/>
      <c r="AE277" s="575"/>
      <c r="AF277" s="575"/>
      <c r="AG277" s="575"/>
      <c r="AH277" s="575"/>
      <c r="AI277" s="1650">
        <v>11</v>
      </c>
    </row>
    <row s="1650" customFormat="1" customHeight="1" ht="11.549999999999999">
      <c r="A278" s="996"/>
      <c r="B278" s="1645"/>
      <c r="C278" s="1645"/>
      <c r="D278" s="360"/>
      <c r="J278" s="1650"/>
      <c r="K278" s="1650"/>
      <c r="L278" s="1650"/>
      <c r="N278" s="1169"/>
      <c r="O278" s="1645"/>
      <c r="P278" s="1645"/>
      <c r="Q278" s="1169"/>
      <c r="R278" s="1169"/>
      <c r="S278" s="1169"/>
      <c r="T278" s="1169"/>
      <c r="U278" s="1645"/>
      <c r="V278" s="1169"/>
      <c r="W278" s="1169"/>
      <c r="X278" s="553"/>
      <c r="Y278" s="1169"/>
      <c r="Z278" s="1169"/>
      <c r="AA278" s="1169"/>
      <c r="AB278" s="1169"/>
      <c r="AC278" s="1169"/>
      <c r="AD278" s="1641"/>
      <c r="AE278" s="575"/>
      <c r="AF278" s="575"/>
      <c r="AG278" s="575"/>
      <c r="AH278" s="575"/>
      <c r="AI278" s="1650">
        <v>11</v>
      </c>
    </row>
    <row s="1650" customFormat="1" customHeight="1" ht="11.549999999999999">
      <c r="A279" s="996"/>
      <c r="B279" s="1645"/>
      <c r="C279" s="1645"/>
      <c r="D279" s="360"/>
      <c r="J279" s="1650"/>
      <c r="K279" s="1650"/>
      <c r="L279" s="1650"/>
      <c r="N279" s="1169"/>
      <c r="O279" s="1645"/>
      <c r="P279" s="1645"/>
      <c r="Q279" s="1169"/>
      <c r="R279" s="1169"/>
      <c r="S279" s="1169"/>
      <c r="T279" s="1169"/>
      <c r="U279" s="1645"/>
      <c r="V279" s="1169"/>
      <c r="W279" s="1169"/>
      <c r="X279" s="553"/>
      <c r="Y279" s="1169"/>
      <c r="Z279" s="1169"/>
      <c r="AA279" s="1169"/>
      <c r="AB279" s="1169"/>
      <c r="AC279" s="1169"/>
      <c r="AD279" s="1641"/>
      <c r="AE279" s="575"/>
      <c r="AF279" s="575"/>
      <c r="AG279" s="575"/>
      <c r="AH279" s="575"/>
      <c r="AI279" s="1650">
        <v>11</v>
      </c>
    </row>
    <row s="1650" customFormat="1" customHeight="1" ht="11.549999999999999">
      <c r="A280" s="996"/>
      <c r="B280" s="1645"/>
      <c r="C280" s="1645"/>
      <c r="D280" s="360"/>
      <c r="J280" s="1650"/>
      <c r="K280" s="1650"/>
      <c r="L280" s="1650"/>
      <c r="N280" s="1169"/>
      <c r="O280" s="1645"/>
      <c r="P280" s="1645"/>
      <c r="Q280" s="1169"/>
      <c r="R280" s="1169"/>
      <c r="S280" s="1169"/>
      <c r="T280" s="1169"/>
      <c r="U280" s="1645"/>
      <c r="V280" s="1169"/>
      <c r="W280" s="1169"/>
      <c r="X280" s="553"/>
      <c r="Y280" s="1169"/>
      <c r="Z280" s="1169"/>
      <c r="AA280" s="1169"/>
      <c r="AB280" s="1169"/>
      <c r="AC280" s="1169"/>
      <c r="AD280" s="1641"/>
      <c r="AE280" s="575"/>
      <c r="AF280" s="575"/>
      <c r="AG280" s="575"/>
      <c r="AH280" s="575"/>
      <c r="AI280" s="1650">
        <v>11</v>
      </c>
    </row>
    <row s="1650" customFormat="1" customHeight="1" ht="11.549999999999999">
      <c r="A281" s="996"/>
      <c r="B281" s="1645"/>
      <c r="C281" s="1645"/>
      <c r="D281" s="360"/>
      <c r="J281" s="1650"/>
      <c r="K281" s="1650"/>
      <c r="L281" s="1650"/>
      <c r="N281" s="1169"/>
      <c r="O281" s="1645"/>
      <c r="P281" s="1645"/>
      <c r="Q281" s="1169"/>
      <c r="R281" s="1169"/>
      <c r="S281" s="1169"/>
      <c r="T281" s="1169"/>
      <c r="U281" s="1645"/>
      <c r="V281" s="1169"/>
      <c r="W281" s="1169"/>
      <c r="X281" s="553"/>
      <c r="Y281" s="1169"/>
      <c r="Z281" s="1169"/>
      <c r="AA281" s="1169"/>
      <c r="AB281" s="1169"/>
      <c r="AC281" s="1169"/>
      <c r="AD281" s="1641"/>
      <c r="AE281" s="575"/>
      <c r="AF281" s="575"/>
      <c r="AG281" s="575"/>
      <c r="AH281" s="575"/>
      <c r="AI281" s="1650">
        <v>11</v>
      </c>
    </row>
    <row s="1650" customFormat="1" customHeight="1" ht="11.549999999999999">
      <c r="A282" s="996"/>
      <c r="B282" s="1645"/>
      <c r="C282" s="1645"/>
      <c r="D282" s="360"/>
      <c r="J282" s="1650"/>
      <c r="K282" s="1650"/>
      <c r="L282" s="1650"/>
      <c r="N282" s="1169"/>
      <c r="O282" s="1645"/>
      <c r="P282" s="1645"/>
      <c r="Q282" s="1169"/>
      <c r="R282" s="1169"/>
      <c r="S282" s="1169"/>
      <c r="T282" s="1169"/>
      <c r="U282" s="1645"/>
      <c r="V282" s="1169"/>
      <c r="W282" s="1169"/>
      <c r="X282" s="553"/>
      <c r="Y282" s="1169"/>
      <c r="Z282" s="1169"/>
      <c r="AA282" s="1169"/>
      <c r="AB282" s="1169"/>
      <c r="AC282" s="1169"/>
      <c r="AD282" s="1641"/>
      <c r="AE282" s="575"/>
      <c r="AF282" s="575"/>
      <c r="AG282" s="575"/>
      <c r="AH282" s="575"/>
      <c r="AI282" s="1650">
        <v>11</v>
      </c>
    </row>
    <row s="1650" customFormat="1" customHeight="1" ht="11.549999999999999">
      <c r="A283" s="996"/>
      <c r="B283" s="1645"/>
      <c r="C283" s="1645"/>
      <c r="D283" s="360"/>
      <c r="J283" s="1650"/>
      <c r="K283" s="1650"/>
      <c r="L283" s="1650"/>
      <c r="N283" s="1169"/>
      <c r="O283" s="1645"/>
      <c r="P283" s="1645"/>
      <c r="Q283" s="1169"/>
      <c r="R283" s="1169"/>
      <c r="S283" s="1169"/>
      <c r="T283" s="1169"/>
      <c r="U283" s="1645"/>
      <c r="V283" s="1169"/>
      <c r="W283" s="1169"/>
      <c r="X283" s="553"/>
      <c r="Y283" s="1169"/>
      <c r="Z283" s="1169"/>
      <c r="AA283" s="1169"/>
      <c r="AB283" s="1169"/>
      <c r="AC283" s="1169"/>
      <c r="AD283" s="1641"/>
      <c r="AE283" s="575"/>
      <c r="AF283" s="575"/>
      <c r="AG283" s="575"/>
      <c r="AH283" s="575"/>
      <c r="AI283" s="1650">
        <v>11</v>
      </c>
    </row>
    <row s="1650" customFormat="1" customHeight="1" ht="11.549999999999999">
      <c r="A284" s="996"/>
      <c r="B284" s="1645"/>
      <c r="C284" s="1645"/>
      <c r="D284" s="360"/>
      <c r="J284" s="1650"/>
      <c r="K284" s="1650"/>
      <c r="L284" s="1650"/>
      <c r="N284" s="1169"/>
      <c r="O284" s="1645"/>
      <c r="P284" s="1645"/>
      <c r="Q284" s="1169"/>
      <c r="R284" s="1169"/>
      <c r="S284" s="1169"/>
      <c r="T284" s="1169"/>
      <c r="U284" s="1645"/>
      <c r="V284" s="1169"/>
      <c r="W284" s="1169"/>
      <c r="X284" s="553"/>
      <c r="Y284" s="1169"/>
      <c r="Z284" s="1169"/>
      <c r="AA284" s="1169"/>
      <c r="AB284" s="1169"/>
      <c r="AC284" s="1169"/>
      <c r="AD284" s="1641"/>
      <c r="AE284" s="575"/>
      <c r="AF284" s="575"/>
      <c r="AG284" s="575"/>
      <c r="AH284" s="575"/>
      <c r="AI284" s="1650">
        <v>11</v>
      </c>
    </row>
    <row s="1650" customFormat="1" customHeight="1" ht="11.549999999999999">
      <c r="A285" s="996"/>
      <c r="B285" s="1645"/>
      <c r="C285" s="1645"/>
      <c r="D285" s="360"/>
      <c r="J285" s="1650"/>
      <c r="K285" s="1650"/>
      <c r="L285" s="1650"/>
      <c r="N285" s="1169"/>
      <c r="O285" s="1645"/>
      <c r="P285" s="1645"/>
      <c r="Q285" s="1169"/>
      <c r="R285" s="1169"/>
      <c r="S285" s="1169"/>
      <c r="T285" s="1169"/>
      <c r="U285" s="1645"/>
      <c r="V285" s="1169"/>
      <c r="W285" s="1169"/>
      <c r="X285" s="553"/>
      <c r="Y285" s="1169"/>
      <c r="Z285" s="1169"/>
      <c r="AA285" s="1169"/>
      <c r="AB285" s="1169"/>
      <c r="AC285" s="1169"/>
      <c r="AD285" s="1641"/>
      <c r="AE285" s="575"/>
      <c r="AF285" s="575"/>
      <c r="AG285" s="575"/>
      <c r="AH285" s="575"/>
      <c r="AI285" s="1650">
        <v>11</v>
      </c>
    </row>
    <row s="1650" customFormat="1" customHeight="1" ht="11.549999999999999">
      <c r="A286" s="996"/>
      <c r="B286" s="1645"/>
      <c r="C286" s="1645"/>
      <c r="D286" s="360"/>
      <c r="J286" s="1650"/>
      <c r="K286" s="1650"/>
      <c r="L286" s="1650"/>
      <c r="N286" s="1169"/>
      <c r="O286" s="1645"/>
      <c r="P286" s="1645"/>
      <c r="Q286" s="1169"/>
      <c r="R286" s="1169"/>
      <c r="S286" s="1169"/>
      <c r="T286" s="1169"/>
      <c r="U286" s="1645"/>
      <c r="V286" s="1169"/>
      <c r="W286" s="1169"/>
      <c r="X286" s="553"/>
      <c r="Y286" s="1169"/>
      <c r="Z286" s="1169"/>
      <c r="AA286" s="1169"/>
      <c r="AB286" s="1169"/>
      <c r="AC286" s="1169"/>
      <c r="AD286" s="1641"/>
      <c r="AE286" s="575"/>
      <c r="AF286" s="575"/>
      <c r="AG286" s="575"/>
      <c r="AH286" s="575"/>
      <c r="AI286" s="1650">
        <v>11</v>
      </c>
    </row>
    <row s="1650" customFormat="1" customHeight="1" ht="11.549999999999999">
      <c r="A287" s="996"/>
      <c r="B287" s="1645"/>
      <c r="C287" s="1645"/>
      <c r="D287" s="360"/>
      <c r="J287" s="1650"/>
      <c r="K287" s="1650"/>
      <c r="L287" s="1650"/>
      <c r="N287" s="1169"/>
      <c r="O287" s="1645"/>
      <c r="P287" s="1645"/>
      <c r="Q287" s="1169"/>
      <c r="R287" s="1169"/>
      <c r="S287" s="1169"/>
      <c r="T287" s="1169"/>
      <c r="U287" s="1645"/>
      <c r="V287" s="1169"/>
      <c r="W287" s="1169"/>
      <c r="X287" s="553"/>
      <c r="Y287" s="1169"/>
      <c r="Z287" s="1169"/>
      <c r="AA287" s="1169"/>
      <c r="AB287" s="1169"/>
      <c r="AC287" s="1169"/>
      <c r="AD287" s="1641"/>
      <c r="AE287" s="575"/>
      <c r="AF287" s="575"/>
      <c r="AG287" s="575"/>
      <c r="AH287" s="575"/>
      <c r="AI287" s="1650">
        <v>11</v>
      </c>
    </row>
    <row s="1650" customFormat="1" customHeight="1" ht="11.549999999999999">
      <c r="A288" s="996"/>
      <c r="B288" s="1645"/>
      <c r="C288" s="1645"/>
      <c r="D288" s="360"/>
      <c r="J288" s="1650"/>
      <c r="K288" s="1650"/>
      <c r="L288" s="1650"/>
      <c r="N288" s="1169"/>
      <c r="O288" s="1645"/>
      <c r="P288" s="1645"/>
      <c r="Q288" s="1169"/>
      <c r="R288" s="1169"/>
      <c r="S288" s="1169"/>
      <c r="T288" s="1169"/>
      <c r="U288" s="1645"/>
      <c r="V288" s="1169"/>
      <c r="W288" s="1169"/>
      <c r="X288" s="553"/>
      <c r="Y288" s="1169"/>
      <c r="Z288" s="1169"/>
      <c r="AA288" s="1169"/>
      <c r="AB288" s="1169"/>
      <c r="AC288" s="1169"/>
      <c r="AD288" s="1641"/>
      <c r="AE288" s="575"/>
      <c r="AF288" s="575"/>
      <c r="AG288" s="575"/>
      <c r="AH288" s="575"/>
      <c r="AI288" s="1650">
        <v>11</v>
      </c>
    </row>
    <row s="1650" customFormat="1" customHeight="1" ht="11.549999999999999">
      <c r="A289" s="996"/>
      <c r="B289" s="1645"/>
      <c r="C289" s="1645"/>
      <c r="D289" s="360"/>
      <c r="J289" s="1650"/>
      <c r="K289" s="1650"/>
      <c r="L289" s="1650"/>
      <c r="N289" s="1169"/>
      <c r="O289" s="1645"/>
      <c r="P289" s="1645"/>
      <c r="Q289" s="1169"/>
      <c r="R289" s="1169"/>
      <c r="S289" s="1169"/>
      <c r="T289" s="1169"/>
      <c r="U289" s="1645"/>
      <c r="V289" s="1169"/>
      <c r="W289" s="1169"/>
      <c r="X289" s="553"/>
      <c r="Y289" s="1169"/>
      <c r="Z289" s="1169"/>
      <c r="AA289" s="1169"/>
      <c r="AB289" s="1169"/>
      <c r="AC289" s="1169"/>
      <c r="AD289" s="1641"/>
      <c r="AE289" s="575"/>
      <c r="AF289" s="575"/>
      <c r="AG289" s="575"/>
      <c r="AH289" s="575"/>
      <c r="AI289" s="1650">
        <v>11</v>
      </c>
    </row>
    <row s="1650" customFormat="1" customHeight="1" ht="11.549999999999999">
      <c r="A290" s="996"/>
      <c r="B290" s="1645"/>
      <c r="C290" s="1645"/>
      <c r="D290" s="360"/>
      <c r="J290" s="1650"/>
      <c r="K290" s="1650"/>
      <c r="L290" s="1650"/>
      <c r="N290" s="1169"/>
      <c r="O290" s="1645"/>
      <c r="P290" s="1645"/>
      <c r="Q290" s="1169"/>
      <c r="R290" s="1169"/>
      <c r="S290" s="1169"/>
      <c r="T290" s="1169"/>
      <c r="U290" s="1645"/>
      <c r="V290" s="1169"/>
      <c r="W290" s="1169"/>
      <c r="X290" s="553"/>
      <c r="Y290" s="1169"/>
      <c r="Z290" s="1169"/>
      <c r="AA290" s="1169"/>
      <c r="AB290" s="1169"/>
      <c r="AC290" s="1169"/>
      <c r="AD290" s="1641"/>
      <c r="AE290" s="575"/>
      <c r="AF290" s="575"/>
      <c r="AG290" s="575"/>
      <c r="AH290" s="575"/>
      <c r="AI290" s="1650">
        <v>11</v>
      </c>
    </row>
    <row s="1650" customFormat="1" customHeight="1" ht="11.549999999999999">
      <c r="A291" s="996"/>
      <c r="B291" s="1645"/>
      <c r="C291" s="1645"/>
      <c r="D291" s="360"/>
      <c r="J291" s="1650"/>
      <c r="K291" s="1650"/>
      <c r="L291" s="1650"/>
      <c r="N291" s="1169"/>
      <c r="O291" s="1645"/>
      <c r="P291" s="1645"/>
      <c r="Q291" s="1169"/>
      <c r="R291" s="1169"/>
      <c r="S291" s="1169"/>
      <c r="T291" s="1169"/>
      <c r="U291" s="1645"/>
      <c r="V291" s="1169"/>
      <c r="W291" s="1169"/>
      <c r="X291" s="553"/>
      <c r="Y291" s="1169"/>
      <c r="Z291" s="1169"/>
      <c r="AA291" s="1169"/>
      <c r="AB291" s="1169"/>
      <c r="AC291" s="1169"/>
      <c r="AD291" s="1641"/>
      <c r="AE291" s="575"/>
      <c r="AF291" s="575"/>
      <c r="AG291" s="575"/>
      <c r="AH291" s="575"/>
      <c r="AI291" s="1650">
        <v>11</v>
      </c>
    </row>
    <row s="1650" customFormat="1" customHeight="1" ht="11.549999999999999">
      <c r="A292" s="996"/>
      <c r="B292" s="1645"/>
      <c r="C292" s="1645"/>
      <c r="D292" s="360"/>
      <c r="J292" s="1650"/>
      <c r="K292" s="1650"/>
      <c r="L292" s="1650"/>
      <c r="N292" s="1169"/>
      <c r="O292" s="1645"/>
      <c r="P292" s="1645"/>
      <c r="Q292" s="1169"/>
      <c r="R292" s="1169"/>
      <c r="S292" s="1169"/>
      <c r="T292" s="1169"/>
      <c r="U292" s="1645"/>
      <c r="V292" s="1169"/>
      <c r="W292" s="1169"/>
      <c r="X292" s="553"/>
      <c r="Y292" s="1169"/>
      <c r="Z292" s="1169"/>
      <c r="AA292" s="1169"/>
      <c r="AB292" s="1169"/>
      <c r="AC292" s="1169"/>
      <c r="AD292" s="1641"/>
      <c r="AE292" s="575"/>
      <c r="AF292" s="575"/>
      <c r="AG292" s="575"/>
      <c r="AH292" s="575"/>
      <c r="AI292" s="1650">
        <v>11</v>
      </c>
    </row>
    <row s="1650" customFormat="1" customHeight="1" ht="11.549999999999999">
      <c r="A293" s="996"/>
      <c r="B293" s="1645"/>
      <c r="C293" s="1645"/>
      <c r="D293" s="360"/>
      <c r="J293" s="1650"/>
      <c r="K293" s="1650"/>
      <c r="L293" s="1650"/>
      <c r="N293" s="1169"/>
      <c r="O293" s="1645"/>
      <c r="P293" s="1645"/>
      <c r="Q293" s="1169"/>
      <c r="R293" s="1169"/>
      <c r="S293" s="1169"/>
      <c r="T293" s="1169"/>
      <c r="U293" s="1645"/>
      <c r="V293" s="1169"/>
      <c r="W293" s="1169"/>
      <c r="X293" s="553"/>
      <c r="Y293" s="1169"/>
      <c r="Z293" s="1169"/>
      <c r="AA293" s="1169"/>
      <c r="AB293" s="1169"/>
      <c r="AC293" s="1169"/>
      <c r="AD293" s="1641"/>
      <c r="AE293" s="575"/>
      <c r="AF293" s="575"/>
      <c r="AG293" s="575"/>
      <c r="AH293" s="575"/>
      <c r="AI293" s="1650">
        <v>11</v>
      </c>
    </row>
    <row s="1650" customFormat="1" customHeight="1" ht="11.549999999999999">
      <c r="A294" s="996"/>
      <c r="B294" s="1645"/>
      <c r="C294" s="1645"/>
      <c r="D294" s="360"/>
      <c r="J294" s="1650"/>
      <c r="K294" s="1650"/>
      <c r="L294" s="1650"/>
      <c r="N294" s="1169"/>
      <c r="O294" s="1645"/>
      <c r="P294" s="1645"/>
      <c r="Q294" s="1169"/>
      <c r="R294" s="1169"/>
      <c r="S294" s="1169"/>
      <c r="T294" s="1169"/>
      <c r="U294" s="1645"/>
      <c r="V294" s="1169"/>
      <c r="W294" s="1169"/>
      <c r="X294" s="553"/>
      <c r="Y294" s="1169"/>
      <c r="Z294" s="1169"/>
      <c r="AA294" s="1169"/>
      <c r="AB294" s="1169"/>
      <c r="AC294" s="1169"/>
      <c r="AD294" s="1641"/>
      <c r="AE294" s="575"/>
      <c r="AF294" s="575"/>
      <c r="AG294" s="575"/>
      <c r="AH294" s="575"/>
      <c r="AI294" s="1650">
        <v>11</v>
      </c>
    </row>
    <row s="1650" customFormat="1" customHeight="1" ht="11.549999999999999">
      <c r="A295" s="996"/>
      <c r="B295" s="1645"/>
      <c r="C295" s="1645"/>
      <c r="D295" s="360"/>
      <c r="J295" s="1650"/>
      <c r="K295" s="1650"/>
      <c r="L295" s="1650"/>
      <c r="N295" s="1169"/>
      <c r="O295" s="1645"/>
      <c r="P295" s="1645"/>
      <c r="Q295" s="1169"/>
      <c r="R295" s="1169"/>
      <c r="S295" s="1169"/>
      <c r="T295" s="1169"/>
      <c r="U295" s="1645"/>
      <c r="V295" s="1169"/>
      <c r="W295" s="1169"/>
      <c r="X295" s="553"/>
      <c r="Y295" s="1169"/>
      <c r="Z295" s="1169"/>
      <c r="AA295" s="1169"/>
      <c r="AB295" s="1169"/>
      <c r="AC295" s="1169"/>
      <c r="AD295" s="1641"/>
      <c r="AE295" s="575"/>
      <c r="AF295" s="575"/>
      <c r="AG295" s="575"/>
      <c r="AH295" s="575"/>
      <c r="AI295" s="1650">
        <v>11</v>
      </c>
    </row>
    <row s="1650" customFormat="1" customHeight="1" ht="11.549999999999999">
      <c r="A296" s="996"/>
      <c r="B296" s="1645"/>
      <c r="C296" s="1645"/>
      <c r="D296" s="360"/>
      <c r="J296" s="1650"/>
      <c r="K296" s="1650"/>
      <c r="L296" s="1650"/>
      <c r="N296" s="1169"/>
      <c r="O296" s="1645"/>
      <c r="P296" s="1645"/>
      <c r="Q296" s="1169"/>
      <c r="R296" s="1169"/>
      <c r="S296" s="1169"/>
      <c r="T296" s="1169"/>
      <c r="U296" s="1645"/>
      <c r="V296" s="1169"/>
      <c r="W296" s="1169"/>
      <c r="X296" s="553"/>
      <c r="Y296" s="1169"/>
      <c r="Z296" s="1169"/>
      <c r="AA296" s="1169"/>
      <c r="AB296" s="1169"/>
      <c r="AC296" s="1169"/>
      <c r="AD296" s="1641"/>
      <c r="AE296" s="575"/>
      <c r="AF296" s="575"/>
      <c r="AG296" s="575"/>
      <c r="AH296" s="575"/>
      <c r="AI296" s="1650">
        <v>11</v>
      </c>
    </row>
    <row s="1650" customFormat="1" customHeight="1" ht="11.549999999999999">
      <c r="A297" s="996"/>
      <c r="B297" s="1645"/>
      <c r="C297" s="1645"/>
      <c r="D297" s="360"/>
      <c r="J297" s="1650"/>
      <c r="K297" s="1650"/>
      <c r="L297" s="1650"/>
      <c r="N297" s="1169"/>
      <c r="O297" s="1645"/>
      <c r="P297" s="1645"/>
      <c r="Q297" s="1169"/>
      <c r="R297" s="1169"/>
      <c r="S297" s="1169"/>
      <c r="T297" s="1169"/>
      <c r="U297" s="1645"/>
      <c r="V297" s="1169"/>
      <c r="W297" s="1169"/>
      <c r="X297" s="553"/>
      <c r="Y297" s="1169"/>
      <c r="Z297" s="1169"/>
      <c r="AA297" s="1169"/>
      <c r="AB297" s="1169"/>
      <c r="AC297" s="1169"/>
      <c r="AD297" s="1641"/>
      <c r="AE297" s="575"/>
      <c r="AF297" s="575"/>
      <c r="AG297" s="575"/>
      <c r="AH297" s="575"/>
      <c r="AI297" s="1650">
        <v>11</v>
      </c>
    </row>
    <row s="1650" customFormat="1" customHeight="1" ht="11.549999999999999">
      <c r="A298" s="996"/>
      <c r="B298" s="1645"/>
      <c r="C298" s="1645"/>
      <c r="D298" s="360"/>
      <c r="J298" s="1650"/>
      <c r="K298" s="1650"/>
      <c r="L298" s="1650"/>
      <c r="N298" s="1169"/>
      <c r="O298" s="1645"/>
      <c r="P298" s="1645"/>
      <c r="Q298" s="1169"/>
      <c r="R298" s="1169"/>
      <c r="S298" s="1169"/>
      <c r="T298" s="1169"/>
      <c r="U298" s="1645"/>
      <c r="V298" s="1169"/>
      <c r="W298" s="1169"/>
      <c r="X298" s="553"/>
      <c r="Y298" s="1169"/>
      <c r="Z298" s="1169"/>
      <c r="AA298" s="1169"/>
      <c r="AB298" s="1169"/>
      <c r="AC298" s="1169"/>
      <c r="AD298" s="1641"/>
      <c r="AE298" s="575"/>
      <c r="AF298" s="575"/>
      <c r="AG298" s="575"/>
      <c r="AH298" s="575"/>
      <c r="AI298" s="1650">
        <v>11</v>
      </c>
    </row>
    <row s="1650" customFormat="1" customHeight="1" ht="11.549999999999999">
      <c r="A299" s="996"/>
      <c r="B299" s="1645"/>
      <c r="C299" s="1645"/>
      <c r="D299" s="360"/>
      <c r="J299" s="1650"/>
      <c r="K299" s="1650"/>
      <c r="L299" s="1650"/>
      <c r="N299" s="1169"/>
      <c r="O299" s="1645"/>
      <c r="P299" s="1645"/>
      <c r="Q299" s="1169"/>
      <c r="R299" s="1169"/>
      <c r="S299" s="1169"/>
      <c r="T299" s="1169"/>
      <c r="U299" s="1645"/>
      <c r="V299" s="1169"/>
      <c r="W299" s="1169"/>
      <c r="X299" s="553"/>
      <c r="Y299" s="1169"/>
      <c r="Z299" s="1169"/>
      <c r="AA299" s="1169"/>
      <c r="AB299" s="1169"/>
      <c r="AC299" s="1169"/>
      <c r="AD299" s="1641"/>
      <c r="AE299" s="575"/>
      <c r="AF299" s="575"/>
      <c r="AG299" s="575"/>
      <c r="AH299" s="575"/>
      <c r="AI299" s="1650">
        <v>11</v>
      </c>
    </row>
    <row s="1650" customFormat="1" customHeight="1" ht="11.549999999999999">
      <c r="A300" s="996"/>
      <c r="B300" s="1645"/>
      <c r="C300" s="1645"/>
      <c r="D300" s="360"/>
      <c r="J300" s="1650"/>
      <c r="K300" s="1650"/>
      <c r="L300" s="1650"/>
      <c r="N300" s="1169"/>
      <c r="O300" s="1645"/>
      <c r="P300" s="1645"/>
      <c r="Q300" s="1169"/>
      <c r="R300" s="1169"/>
      <c r="S300" s="1169"/>
      <c r="T300" s="1169"/>
      <c r="U300" s="1645"/>
      <c r="V300" s="1169"/>
      <c r="W300" s="1169"/>
      <c r="X300" s="553"/>
      <c r="Y300" s="1169"/>
      <c r="Z300" s="1169"/>
      <c r="AA300" s="1169"/>
      <c r="AB300" s="1169"/>
      <c r="AC300" s="1169"/>
      <c r="AD300" s="1641"/>
      <c r="AE300" s="575"/>
      <c r="AF300" s="575"/>
      <c r="AG300" s="575"/>
      <c r="AH300" s="575"/>
      <c r="AI300" s="1650">
        <v>11</v>
      </c>
    </row>
    <row s="1650" customFormat="1" customHeight="1" ht="11.549999999999999">
      <c r="A301" s="996"/>
      <c r="B301" s="1645"/>
      <c r="C301" s="1645"/>
      <c r="D301" s="360"/>
      <c r="J301" s="1650"/>
      <c r="K301" s="1650"/>
      <c r="L301" s="1650"/>
      <c r="N301" s="1169"/>
      <c r="O301" s="1645"/>
      <c r="P301" s="1645"/>
      <c r="Q301" s="1169"/>
      <c r="R301" s="1169"/>
      <c r="S301" s="1169"/>
      <c r="T301" s="1169"/>
      <c r="U301" s="1645"/>
      <c r="V301" s="1169"/>
      <c r="W301" s="1169"/>
      <c r="X301" s="553"/>
      <c r="Y301" s="1169"/>
      <c r="Z301" s="1169"/>
      <c r="AA301" s="1169"/>
      <c r="AB301" s="1169"/>
      <c r="AC301" s="1169"/>
      <c r="AD301" s="1641"/>
      <c r="AE301" s="575"/>
      <c r="AF301" s="575"/>
      <c r="AG301" s="575"/>
      <c r="AH301" s="575"/>
      <c r="AI301" s="1650">
        <v>11</v>
      </c>
    </row>
    <row s="1650" customFormat="1" customHeight="1" ht="11.549999999999999">
      <c r="A302" s="996"/>
      <c r="B302" s="1645"/>
      <c r="C302" s="1645"/>
      <c r="D302" s="360"/>
      <c r="J302" s="1650"/>
      <c r="K302" s="1650"/>
      <c r="L302" s="1650"/>
      <c r="N302" s="1169"/>
      <c r="O302" s="1645"/>
      <c r="P302" s="1645"/>
      <c r="Q302" s="1169"/>
      <c r="R302" s="1169"/>
      <c r="S302" s="1169"/>
      <c r="T302" s="1169"/>
      <c r="U302" s="1645"/>
      <c r="V302" s="1169"/>
      <c r="W302" s="1169"/>
      <c r="X302" s="553"/>
      <c r="Y302" s="1169"/>
      <c r="Z302" s="1169"/>
      <c r="AA302" s="1169"/>
      <c r="AB302" s="1169"/>
      <c r="AC302" s="1169"/>
      <c r="AD302" s="1641"/>
      <c r="AE302" s="575"/>
      <c r="AF302" s="575"/>
      <c r="AG302" s="575"/>
      <c r="AH302" s="575"/>
      <c r="AI302" s="1650">
        <v>11</v>
      </c>
    </row>
    <row s="1650" customFormat="1" customHeight="1" ht="11.549999999999999">
      <c r="A303" s="996"/>
      <c r="B303" s="1645"/>
      <c r="C303" s="1645"/>
      <c r="D303" s="360"/>
      <c r="J303" s="1650"/>
      <c r="K303" s="1650"/>
      <c r="L303" s="1650"/>
      <c r="N303" s="1169"/>
      <c r="O303" s="1645"/>
      <c r="P303" s="1645"/>
      <c r="Q303" s="1169"/>
      <c r="R303" s="1169"/>
      <c r="S303" s="1169"/>
      <c r="T303" s="1169"/>
      <c r="U303" s="1645"/>
      <c r="V303" s="1169"/>
      <c r="W303" s="1169"/>
      <c r="X303" s="553"/>
      <c r="Y303" s="1169"/>
      <c r="Z303" s="1169"/>
      <c r="AA303" s="1169"/>
      <c r="AB303" s="1169"/>
      <c r="AC303" s="1169"/>
      <c r="AD303" s="1641"/>
      <c r="AE303" s="575"/>
      <c r="AF303" s="575"/>
      <c r="AG303" s="575"/>
      <c r="AH303" s="575"/>
      <c r="AI303" s="1650">
        <v>11</v>
      </c>
    </row>
    <row s="1650" customFormat="1" customHeight="1" ht="11.549999999999999">
      <c r="A304" s="996"/>
      <c r="B304" s="1645"/>
      <c r="C304" s="1645"/>
      <c r="D304" s="360"/>
      <c r="J304" s="1650"/>
      <c r="K304" s="1650"/>
      <c r="L304" s="1650"/>
      <c r="N304" s="1169"/>
      <c r="O304" s="1645"/>
      <c r="P304" s="1645"/>
      <c r="Q304" s="1169"/>
      <c r="R304" s="1169"/>
      <c r="S304" s="1169"/>
      <c r="T304" s="1169"/>
      <c r="U304" s="1645"/>
      <c r="V304" s="1169"/>
      <c r="W304" s="1169"/>
      <c r="X304" s="553"/>
      <c r="Y304" s="1169"/>
      <c r="Z304" s="1169"/>
      <c r="AA304" s="1169"/>
      <c r="AB304" s="1169"/>
      <c r="AC304" s="1169"/>
      <c r="AD304" s="1641"/>
      <c r="AE304" s="575"/>
      <c r="AF304" s="575"/>
      <c r="AG304" s="575"/>
      <c r="AH304" s="575"/>
      <c r="AI304" s="1650">
        <v>11</v>
      </c>
    </row>
    <row s="1650" customFormat="1" customHeight="1" ht="11.549999999999999">
      <c r="A305" s="996"/>
      <c r="B305" s="1645"/>
      <c r="C305" s="1645"/>
      <c r="D305" s="360"/>
      <c r="J305" s="1650"/>
      <c r="K305" s="1650"/>
      <c r="L305" s="1650"/>
      <c r="N305" s="1169"/>
      <c r="O305" s="1645"/>
      <c r="P305" s="1645"/>
      <c r="Q305" s="1169"/>
      <c r="R305" s="1169"/>
      <c r="S305" s="1169"/>
      <c r="T305" s="1169"/>
      <c r="U305" s="1645"/>
      <c r="V305" s="1169"/>
      <c r="W305" s="1169"/>
      <c r="X305" s="553"/>
      <c r="Y305" s="1169"/>
      <c r="Z305" s="1169"/>
      <c r="AA305" s="1169"/>
      <c r="AB305" s="1169"/>
      <c r="AC305" s="1169"/>
      <c r="AD305" s="1641"/>
      <c r="AE305" s="575"/>
      <c r="AF305" s="575"/>
      <c r="AG305" s="575"/>
      <c r="AH305" s="575"/>
      <c r="AI305" s="1650">
        <v>11</v>
      </c>
    </row>
    <row s="1650" customFormat="1" customHeight="1" ht="11.549999999999999">
      <c r="A306" s="996"/>
      <c r="B306" s="1645"/>
      <c r="C306" s="1645"/>
      <c r="D306" s="360"/>
      <c r="J306" s="1650"/>
      <c r="K306" s="1650"/>
      <c r="L306" s="1650"/>
      <c r="N306" s="1169"/>
      <c r="O306" s="1645"/>
      <c r="P306" s="1645"/>
      <c r="Q306" s="1169"/>
      <c r="R306" s="1169"/>
      <c r="S306" s="1169"/>
      <c r="T306" s="1169"/>
      <c r="U306" s="1645"/>
      <c r="V306" s="1169"/>
      <c r="W306" s="1169"/>
      <c r="X306" s="553"/>
      <c r="Y306" s="1169"/>
      <c r="Z306" s="1169"/>
      <c r="AA306" s="1169"/>
      <c r="AB306" s="1169"/>
      <c r="AC306" s="1169"/>
      <c r="AD306" s="1641"/>
      <c r="AE306" s="575"/>
      <c r="AF306" s="575"/>
      <c r="AG306" s="575"/>
      <c r="AH306" s="575"/>
      <c r="AI306" s="1650">
        <v>11</v>
      </c>
    </row>
    <row s="1650" customFormat="1" customHeight="1" ht="11.549999999999999">
      <c r="A307" s="996"/>
      <c r="B307" s="1645"/>
      <c r="C307" s="1645"/>
      <c r="D307" s="360"/>
      <c r="J307" s="1650"/>
      <c r="K307" s="1650"/>
      <c r="L307" s="1650"/>
      <c r="N307" s="1169"/>
      <c r="O307" s="1645"/>
      <c r="P307" s="1645"/>
      <c r="Q307" s="1169"/>
      <c r="R307" s="1169"/>
      <c r="S307" s="1169"/>
      <c r="T307" s="1169"/>
      <c r="U307" s="1645"/>
      <c r="V307" s="1169"/>
      <c r="W307" s="1169"/>
      <c r="X307" s="553"/>
      <c r="Y307" s="1169"/>
      <c r="Z307" s="1169"/>
      <c r="AA307" s="1169"/>
      <c r="AB307" s="1169"/>
      <c r="AC307" s="1169"/>
      <c r="AD307" s="1641"/>
      <c r="AE307" s="575"/>
      <c r="AF307" s="575"/>
      <c r="AG307" s="575"/>
      <c r="AH307" s="575"/>
      <c r="AI307" s="1650">
        <v>11</v>
      </c>
    </row>
    <row s="1650" customFormat="1" customHeight="1" ht="11.549999999999999">
      <c r="A308" s="996"/>
      <c r="B308" s="1645"/>
      <c r="C308" s="1645"/>
      <c r="D308" s="360"/>
      <c r="J308" s="1650"/>
      <c r="K308" s="1650"/>
      <c r="L308" s="1650"/>
      <c r="N308" s="1169"/>
      <c r="O308" s="1645"/>
      <c r="P308" s="1645"/>
      <c r="Q308" s="1169"/>
      <c r="R308" s="1169"/>
      <c r="S308" s="1169"/>
      <c r="T308" s="1169"/>
      <c r="U308" s="1645"/>
      <c r="V308" s="1169"/>
      <c r="W308" s="1169"/>
      <c r="X308" s="553"/>
      <c r="Y308" s="1169"/>
      <c r="Z308" s="1169"/>
      <c r="AA308" s="1169"/>
      <c r="AB308" s="1169"/>
      <c r="AC308" s="1169"/>
      <c r="AD308" s="1641"/>
      <c r="AE308" s="575"/>
      <c r="AF308" s="575"/>
      <c r="AG308" s="575"/>
      <c r="AH308" s="575"/>
      <c r="AI308" s="1650">
        <v>11</v>
      </c>
    </row>
    <row s="1650" customFormat="1" customHeight="1" ht="11.549999999999999">
      <c r="A309" s="996"/>
      <c r="B309" s="1645"/>
      <c r="C309" s="1645"/>
      <c r="D309" s="360"/>
      <c r="J309" s="1650"/>
      <c r="K309" s="1650"/>
      <c r="L309" s="1650"/>
      <c r="N309" s="1169"/>
      <c r="O309" s="1645"/>
      <c r="P309" s="1645"/>
      <c r="Q309" s="1169"/>
      <c r="R309" s="1169"/>
      <c r="S309" s="1169"/>
      <c r="T309" s="1169"/>
      <c r="U309" s="1645"/>
      <c r="V309" s="1169"/>
      <c r="W309" s="1169"/>
      <c r="X309" s="553"/>
      <c r="Y309" s="1169"/>
      <c r="Z309" s="1169"/>
      <c r="AA309" s="1169"/>
      <c r="AB309" s="1169"/>
      <c r="AC309" s="1169"/>
      <c r="AD309" s="1641"/>
      <c r="AE309" s="575"/>
      <c r="AF309" s="575"/>
      <c r="AG309" s="575"/>
      <c r="AH309" s="575"/>
      <c r="AI309" s="1650">
        <v>11</v>
      </c>
    </row>
    <row s="1650" customFormat="1" customHeight="1" ht="11.549999999999999">
      <c r="A310" s="996"/>
      <c r="B310" s="1645"/>
      <c r="C310" s="1645"/>
      <c r="D310" s="360"/>
      <c r="J310" s="1650"/>
      <c r="K310" s="1650"/>
      <c r="L310" s="1650"/>
      <c r="N310" s="1169"/>
      <c r="O310" s="1645"/>
      <c r="P310" s="1645"/>
      <c r="Q310" s="1169"/>
      <c r="R310" s="1169"/>
      <c r="S310" s="1169"/>
      <c r="T310" s="1169"/>
      <c r="U310" s="1645"/>
      <c r="V310" s="1169"/>
      <c r="W310" s="1169"/>
      <c r="X310" s="553"/>
      <c r="Y310" s="1169"/>
      <c r="Z310" s="1169"/>
      <c r="AA310" s="1169"/>
      <c r="AB310" s="1169"/>
      <c r="AC310" s="1169"/>
      <c r="AD310" s="1641"/>
      <c r="AE310" s="575"/>
      <c r="AF310" s="575"/>
      <c r="AG310" s="575"/>
      <c r="AH310" s="575"/>
      <c r="AI310" s="1650">
        <v>11</v>
      </c>
    </row>
    <row s="1650" customFormat="1" customHeight="1" ht="11.549999999999999">
      <c r="A311" s="996"/>
      <c r="B311" s="1645"/>
      <c r="C311" s="1645"/>
      <c r="D311" s="360"/>
      <c r="J311" s="1650"/>
      <c r="K311" s="1650"/>
      <c r="L311" s="1650"/>
      <c r="N311" s="1169"/>
      <c r="O311" s="1645"/>
      <c r="P311" s="1645"/>
      <c r="Q311" s="1169"/>
      <c r="R311" s="1169"/>
      <c r="S311" s="1169"/>
      <c r="T311" s="1169"/>
      <c r="U311" s="1645"/>
      <c r="V311" s="1169"/>
      <c r="W311" s="1169"/>
      <c r="X311" s="553"/>
      <c r="Y311" s="1169"/>
      <c r="Z311" s="1169"/>
      <c r="AA311" s="1169"/>
      <c r="AB311" s="1169"/>
      <c r="AC311" s="1169"/>
      <c r="AD311" s="1641"/>
      <c r="AE311" s="575"/>
      <c r="AF311" s="575"/>
      <c r="AG311" s="575"/>
      <c r="AH311" s="575"/>
      <c r="AI311" s="1650">
        <v>11</v>
      </c>
    </row>
    <row s="1650" customFormat="1" customHeight="1" ht="11.549999999999999">
      <c r="A312" s="996"/>
      <c r="B312" s="1645"/>
      <c r="C312" s="1645"/>
      <c r="D312" s="360"/>
      <c r="J312" s="1650"/>
      <c r="K312" s="1650"/>
      <c r="L312" s="1650"/>
      <c r="N312" s="1169"/>
      <c r="O312" s="1645"/>
      <c r="P312" s="1645"/>
      <c r="Q312" s="1169"/>
      <c r="R312" s="1169"/>
      <c r="S312" s="1169"/>
      <c r="T312" s="1169"/>
      <c r="U312" s="1645"/>
      <c r="V312" s="1169"/>
      <c r="W312" s="1169"/>
      <c r="X312" s="553"/>
      <c r="Y312" s="1169"/>
      <c r="Z312" s="1169"/>
      <c r="AA312" s="1169"/>
      <c r="AB312" s="1169"/>
      <c r="AC312" s="1169"/>
      <c r="AD312" s="1641"/>
      <c r="AE312" s="575"/>
      <c r="AF312" s="575"/>
      <c r="AG312" s="575"/>
      <c r="AH312" s="575"/>
      <c r="AI312" s="1650">
        <v>11</v>
      </c>
    </row>
    <row customHeight="1" ht="11.549999999999999">
      <c r="J313" s="1644"/>
      <c r="K313" s="1644"/>
      <c r="L313" s="1644"/>
      <c r="AI313" s="1640">
        <v>11</v>
      </c>
    </row>
    <row customHeight="1" ht="11.549999999999999">
      <c r="J314" s="1644"/>
      <c r="K314" s="1644"/>
      <c r="L314" s="1644"/>
      <c r="AI314" s="1640">
        <v>11</v>
      </c>
    </row>
    <row customHeight="1" ht="11.549999999999999">
      <c r="J315" s="1644"/>
      <c r="K315" s="1644"/>
      <c r="L315" s="1644"/>
      <c r="AI315" s="1640">
        <v>11</v>
      </c>
    </row>
    <row customHeight="1" ht="11.549999999999999">
      <c r="A316" s="999"/>
      <c r="B316" s="1640"/>
      <c r="D316" s="1640"/>
      <c r="J316" s="1644"/>
      <c r="K316" s="1644"/>
      <c r="L316" s="1644"/>
      <c r="N316" s="1640"/>
      <c r="Q316" s="1640"/>
      <c r="R316" s="1640"/>
      <c r="S316" s="1640"/>
      <c r="T316" s="1640"/>
      <c r="V316" s="1640"/>
      <c r="W316" s="1640"/>
      <c r="X316" s="1640"/>
      <c r="Y316" s="1640"/>
      <c r="Z316" s="1640"/>
      <c r="AA316" s="1640"/>
      <c r="AB316" s="1640"/>
      <c r="AC316" s="1640"/>
      <c r="AD316" s="1640"/>
      <c r="AE316" s="1640"/>
      <c r="AF316" s="1640"/>
      <c r="AG316" s="1640"/>
      <c r="AH316" s="1640"/>
      <c r="AI316" s="1640">
        <v>11</v>
      </c>
    </row>
    <row customHeight="1" ht="11.549999999999999">
      <c r="A317" s="999"/>
      <c r="B317" s="1640"/>
      <c r="D317" s="1640"/>
      <c r="J317" s="1644"/>
      <c r="K317" s="1644"/>
      <c r="L317" s="1644"/>
      <c r="N317" s="1640"/>
      <c r="Q317" s="1640"/>
      <c r="R317" s="1640"/>
      <c r="S317" s="1640"/>
      <c r="T317" s="1640"/>
      <c r="V317" s="1640"/>
      <c r="W317" s="1640"/>
      <c r="X317" s="1640"/>
      <c r="Y317" s="1640"/>
      <c r="Z317" s="1640"/>
      <c r="AA317" s="1640"/>
      <c r="AB317" s="1640"/>
      <c r="AC317" s="1640"/>
      <c r="AD317" s="1640"/>
      <c r="AE317" s="1640"/>
      <c r="AF317" s="1640"/>
      <c r="AG317" s="1640"/>
      <c r="AH317" s="1640"/>
      <c r="AI317" s="1640">
        <v>11</v>
      </c>
    </row>
    <row customHeight="1" ht="11.549999999999999">
      <c r="A318" s="999"/>
      <c r="B318" s="1640"/>
      <c r="D318" s="1640"/>
      <c r="J318" s="1644"/>
      <c r="K318" s="1644"/>
      <c r="L318" s="1644"/>
      <c r="N318" s="1640"/>
      <c r="Q318" s="1640"/>
      <c r="R318" s="1640"/>
      <c r="S318" s="1640"/>
      <c r="T318" s="1640"/>
      <c r="V318" s="1640"/>
      <c r="W318" s="1640"/>
      <c r="X318" s="1640"/>
      <c r="Y318" s="1640"/>
      <c r="Z318" s="1640"/>
      <c r="AA318" s="1640"/>
      <c r="AB318" s="1640"/>
      <c r="AC318" s="1640"/>
      <c r="AD318" s="1640"/>
      <c r="AE318" s="1640"/>
      <c r="AF318" s="1640"/>
      <c r="AG318" s="1640"/>
      <c r="AH318" s="1640"/>
      <c r="AI318" s="1640">
        <v>11</v>
      </c>
    </row>
    <row customHeight="1" ht="11.549999999999999">
      <c r="A319" s="999"/>
      <c r="B319" s="1640"/>
      <c r="D319" s="1640"/>
      <c r="J319" s="1644"/>
      <c r="K319" s="1644"/>
      <c r="L319" s="1644"/>
      <c r="N319" s="1640"/>
      <c r="Q319" s="1640"/>
      <c r="R319" s="1640"/>
      <c r="S319" s="1640"/>
      <c r="T319" s="1640"/>
      <c r="V319" s="1640"/>
      <c r="W319" s="1640"/>
      <c r="X319" s="1640"/>
      <c r="Y319" s="1640"/>
      <c r="Z319" s="1640"/>
      <c r="AA319" s="1640"/>
      <c r="AB319" s="1640"/>
      <c r="AC319" s="1640"/>
      <c r="AD319" s="1640"/>
      <c r="AE319" s="1640"/>
      <c r="AF319" s="1640"/>
      <c r="AG319" s="1640"/>
      <c r="AH319" s="1640"/>
      <c r="AI319" s="1640">
        <v>11</v>
      </c>
    </row>
    <row customHeight="1" ht="11.549999999999999">
      <c r="A320" s="999"/>
      <c r="B320" s="1640"/>
      <c r="D320" s="1640"/>
      <c r="J320" s="1644"/>
      <c r="K320" s="1644"/>
      <c r="L320" s="1644"/>
      <c r="N320" s="1640"/>
      <c r="Q320" s="1640"/>
      <c r="R320" s="1640"/>
      <c r="S320" s="1640"/>
      <c r="T320" s="1640"/>
      <c r="V320" s="1640"/>
      <c r="W320" s="1640"/>
      <c r="X320" s="1640"/>
      <c r="Y320" s="1640"/>
      <c r="Z320" s="1640"/>
      <c r="AA320" s="1640"/>
      <c r="AB320" s="1640"/>
      <c r="AC320" s="1640"/>
      <c r="AD320" s="1640"/>
      <c r="AE320" s="1640"/>
      <c r="AF320" s="1640"/>
      <c r="AG320" s="1640"/>
      <c r="AH320" s="1640"/>
      <c r="AI320" s="1640">
        <v>11</v>
      </c>
    </row>
    <row customHeight="1" ht="11.549999999999999">
      <c r="A321" s="999"/>
      <c r="B321" s="1640"/>
      <c r="D321" s="1640"/>
      <c r="J321" s="1644"/>
      <c r="K321" s="1644"/>
      <c r="L321" s="1644"/>
      <c r="N321" s="1640"/>
      <c r="Q321" s="1640"/>
      <c r="R321" s="1640"/>
      <c r="S321" s="1640"/>
      <c r="T321" s="1640"/>
      <c r="V321" s="1640"/>
      <c r="W321" s="1640"/>
      <c r="X321" s="1640"/>
      <c r="Y321" s="1640"/>
      <c r="Z321" s="1640"/>
      <c r="AA321" s="1640"/>
      <c r="AB321" s="1640"/>
      <c r="AC321" s="1640"/>
      <c r="AD321" s="1640"/>
      <c r="AE321" s="1640"/>
      <c r="AF321" s="1640"/>
      <c r="AG321" s="1640"/>
      <c r="AH321" s="1640"/>
      <c r="AI321" s="1640">
        <v>11</v>
      </c>
    </row>
    <row customHeight="1" ht="11.549999999999999">
      <c r="A322" s="999"/>
      <c r="B322" s="1640"/>
      <c r="D322" s="1640"/>
      <c r="J322" s="1644"/>
      <c r="K322" s="1644"/>
      <c r="L322" s="1644"/>
      <c r="N322" s="1640"/>
      <c r="Q322" s="1640"/>
      <c r="R322" s="1640"/>
      <c r="S322" s="1640"/>
      <c r="T322" s="1640"/>
      <c r="V322" s="1640"/>
      <c r="W322" s="1640"/>
      <c r="X322" s="1640"/>
      <c r="Y322" s="1640"/>
      <c r="Z322" s="1640"/>
      <c r="AA322" s="1640"/>
      <c r="AB322" s="1640"/>
      <c r="AC322" s="1640"/>
      <c r="AD322" s="1640"/>
      <c r="AE322" s="1640"/>
      <c r="AF322" s="1640"/>
      <c r="AG322" s="1640"/>
      <c r="AH322" s="1640"/>
      <c r="AI322" s="1640">
        <v>11</v>
      </c>
    </row>
    <row customHeight="1" ht="11.549999999999999">
      <c r="A323" s="999"/>
      <c r="B323" s="1640"/>
      <c r="D323" s="1640"/>
      <c r="J323" s="1644"/>
      <c r="K323" s="1644"/>
      <c r="L323" s="1644"/>
      <c r="N323" s="1640"/>
      <c r="Q323" s="1640"/>
      <c r="R323" s="1640"/>
      <c r="S323" s="1640"/>
      <c r="T323" s="1640"/>
      <c r="V323" s="1640"/>
      <c r="W323" s="1640"/>
      <c r="X323" s="1640"/>
      <c r="Y323" s="1640"/>
      <c r="Z323" s="1640"/>
      <c r="AA323" s="1640"/>
      <c r="AB323" s="1640"/>
      <c r="AC323" s="1640"/>
      <c r="AD323" s="1640"/>
      <c r="AE323" s="1640"/>
      <c r="AF323" s="1640"/>
      <c r="AG323" s="1640"/>
      <c r="AH323" s="1640"/>
      <c r="AI323" s="1640">
        <v>11</v>
      </c>
    </row>
    <row customHeight="1" ht="11.549999999999999">
      <c r="A324" s="999"/>
      <c r="B324" s="1640"/>
      <c r="D324" s="1640"/>
      <c r="J324" s="1644"/>
      <c r="K324" s="1644"/>
      <c r="L324" s="1644"/>
      <c r="N324" s="1640"/>
      <c r="Q324" s="1640"/>
      <c r="R324" s="1640"/>
      <c r="S324" s="1640"/>
      <c r="T324" s="1640"/>
      <c r="V324" s="1640"/>
      <c r="W324" s="1640"/>
      <c r="X324" s="1640"/>
      <c r="Y324" s="1640"/>
      <c r="Z324" s="1640"/>
      <c r="AA324" s="1640"/>
      <c r="AB324" s="1640"/>
      <c r="AC324" s="1640"/>
      <c r="AD324" s="1640"/>
      <c r="AE324" s="1640"/>
      <c r="AF324" s="1640"/>
      <c r="AG324" s="1640"/>
      <c r="AH324" s="1640"/>
      <c r="AI324" s="1640">
        <v>11</v>
      </c>
    </row>
    <row customHeight="1" ht="11.549999999999999">
      <c r="A325" s="999"/>
      <c r="B325" s="1640"/>
      <c r="D325" s="1640"/>
      <c r="J325" s="1644"/>
      <c r="K325" s="1644"/>
      <c r="L325" s="1644"/>
      <c r="N325" s="1640"/>
      <c r="Q325" s="1640"/>
      <c r="R325" s="1640"/>
      <c r="S325" s="1640"/>
      <c r="T325" s="1640"/>
      <c r="V325" s="1640"/>
      <c r="W325" s="1640"/>
      <c r="X325" s="1640"/>
      <c r="Y325" s="1640"/>
      <c r="Z325" s="1640"/>
      <c r="AA325" s="1640"/>
      <c r="AB325" s="1640"/>
      <c r="AC325" s="1640"/>
      <c r="AD325" s="1640"/>
      <c r="AE325" s="1640"/>
      <c r="AF325" s="1640"/>
      <c r="AG325" s="1640"/>
      <c r="AH325" s="1640"/>
      <c r="AI325" s="1640">
        <v>11</v>
      </c>
    </row>
    <row customHeight="1" ht="11.549999999999999">
      <c r="A326" s="999"/>
      <c r="B326" s="1640"/>
      <c r="D326" s="1640"/>
      <c r="J326" s="1644"/>
      <c r="K326" s="1644"/>
      <c r="L326" s="1644"/>
      <c r="N326" s="1640"/>
      <c r="Q326" s="1640"/>
      <c r="R326" s="1640"/>
      <c r="S326" s="1640"/>
      <c r="T326" s="1640"/>
      <c r="V326" s="1640"/>
      <c r="W326" s="1640"/>
      <c r="X326" s="1640"/>
      <c r="Y326" s="1640"/>
      <c r="Z326" s="1640"/>
      <c r="AA326" s="1640"/>
      <c r="AB326" s="1640"/>
      <c r="AC326" s="1640"/>
      <c r="AD326" s="1640"/>
      <c r="AE326" s="1640"/>
      <c r="AF326" s="1640"/>
      <c r="AG326" s="1640"/>
      <c r="AH326" s="1640"/>
      <c r="AI326" s="1640">
        <v>11</v>
      </c>
    </row>
    <row customHeight="1" ht="11.25" hidden="1">
      <c r="A327" s="996" t="s">
        <v>83</v>
      </c>
      <c r="B327" s="1169">
        <v>0</v>
      </c>
      <c r="C327" s="1645">
        <v>0</v>
      </c>
      <c r="D327" s="1644">
        <v>3</v>
      </c>
      <c r="E327" s="1640">
        <v>7</v>
      </c>
      <c r="F327" s="1640">
        <v>54</v>
      </c>
      <c r="G327" s="1640">
        <v>10</v>
      </c>
      <c r="H327" s="1640">
        <v>0</v>
      </c>
      <c r="I327" s="1640">
        <v>40</v>
      </c>
      <c r="J327" s="1644">
        <v>0</v>
      </c>
      <c r="K327" s="1644">
        <v>0</v>
      </c>
      <c r="L327" s="1644">
        <v>0</v>
      </c>
      <c r="M327" s="1640">
        <v>102</v>
      </c>
      <c r="N327" s="1169">
        <v>9</v>
      </c>
      <c r="O327" s="1645">
        <v>5</v>
      </c>
      <c r="P327" s="1645">
        <v>3</v>
      </c>
      <c r="Q327" s="1169">
        <v>3</v>
      </c>
      <c r="R327" s="1169">
        <v>3</v>
      </c>
      <c r="S327" s="1169">
        <v>3</v>
      </c>
      <c r="T327" s="1169">
        <v>3</v>
      </c>
      <c r="U327" s="1645">
        <v>10</v>
      </c>
      <c r="V327" s="1169">
        <v>34</v>
      </c>
      <c r="W327" s="1169">
        <v>9</v>
      </c>
      <c r="X327" s="553">
        <v>8</v>
      </c>
      <c r="Y327" s="1169">
        <v>8</v>
      </c>
      <c r="Z327" s="1169">
        <v>8</v>
      </c>
      <c r="AA327" s="1169">
        <v>8</v>
      </c>
      <c r="AB327" s="1169">
        <v>8</v>
      </c>
      <c r="AC327" s="1169">
        <v>8</v>
      </c>
      <c r="AD327" s="1641">
        <v>8</v>
      </c>
      <c r="AE327" s="1641">
        <v>8</v>
      </c>
      <c r="AF327" s="1641">
        <v>8</v>
      </c>
      <c r="AG327" s="1641">
        <v>8</v>
      </c>
      <c r="AH327" s="1641">
        <v>8</v>
      </c>
      <c r="AI327" s="1640">
        <v>11</v>
      </c>
    </row>
  </sheetData>
  <sheetProtection sheet="1" formatColumns="0" formatRows="0" autoFilter="0" sort="1" insertRows="1" insertColumns="1" deleteRows="1" deleteColumns="1"/>
  <mergeCells count="22">
    <mergeCell ref="A144:A154"/>
    <mergeCell ref="E21:I21"/>
    <mergeCell ref="E22:I22"/>
    <mergeCell ref="A33:A64"/>
    <mergeCell ref="B34:B39"/>
    <mergeCell ref="A65:A67"/>
    <mergeCell ref="A91:A92"/>
    <mergeCell ref="A106:A114"/>
    <mergeCell ref="A115:A119"/>
    <mergeCell ref="A120:A122"/>
    <mergeCell ref="A123:A135"/>
    <mergeCell ref="A139:A143"/>
    <mergeCell ref="B2:B7"/>
    <mergeCell ref="M25:M29"/>
    <mergeCell ref="F25:G25"/>
    <mergeCell ref="F26:G26"/>
    <mergeCell ref="F27:G27"/>
    <mergeCell ref="E28:G28"/>
    <mergeCell ref="B40:B45"/>
    <mergeCell ref="B46:B51"/>
    <mergeCell ref="B52:B57"/>
    <mergeCell ref="B58:B63"/>
  </mergeCells>
  <dataValidations count="12">
    <dataValidation allowBlank="1" showInputMessage="1" showErrorMessage="1" prompt="Для выбора выполните двойной щелчок левой клавиши мыши по соответствующей ячейке." sqref="H92:L92 H90:L90"/>
    <dataValidation type="decimal" allowBlank="1" showErrorMessage="1" errorTitle="Ошибка" error="Введите значение от 0 до 100%" sqref="H114:L114 H119:L119">
      <formula1>0</formula1>
      <formula2>100</formula2>
    </dataValidation>
    <dataValidation type="decimal" allowBlank="1" showErrorMessage="1" errorTitle="Ошибка" error="Допускается ввод только действительных чисел!" sqref="H147:L147 H144:L144 H150:L150 H99:L104 H128:L128">
      <formula1>-9.99999999999999E+37</formula1>
      <formula2>9.99999999999999E+37</formula2>
    </dataValidation>
    <dataValidation type="decimal" allowBlank="1" showErrorMessage="1" errorTitle="Ошибка" error="Допускается ввод только действительных чисел!" sqref="H96:L9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52:L154 H105:L105">
      <formula1>900</formula1>
    </dataValidation>
    <dataValidation type="list" allowBlank="1" showInputMessage="1" showErrorMessage="1" errorTitle="Ошибка" error="Выберите значение из списка" prompt="Выберите значение из списка" sqref="G117">
      <formula1>kind_of_volume_te_unit</formula1>
    </dataValidation>
    <dataValidation type="list" allowBlank="1" showInputMessage="1" showErrorMessage="1" errorTitle="Ошибка" error="Выберите значение из списка" prompt="Выберите значение из списка" sqref="F2 F40 F46 F52 F58">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91:L91 H93:L93 H115:L118 H151:L151 H30:L30 H32:L33 H35:L38 H64:L89 H106:L110 H17:L17 H9:L13 H15:L15 H4:L6 H98:L98 H112:L113 H120:L127 H129:L143 H42 I42 J42 K42 L42 H43 I43 J43 K43 L43 H44 I44 J44 K44 L44 H48 I48 J48 K48 L48 H49 I49 J49 K49 L49 H50 I50 J50 K50 L50 H54 I54 J54 K54 L54 H55 I55 J55 K55 L55 H56 I56 J56 K56 L56 H60 I60 J60 K60 L60 H61 I61 J61 K61 L61 H62 I62 J62 K62 L62">
      <formula1>0</formula1>
      <formula2>9.99999999999999E+23</formula2>
    </dataValidation>
    <dataValidation type="textLength" operator="lessThanOrEqual" allowBlank="1" showInputMessage="1" showErrorMessage="1" errorTitle="Ошибка" error="Допускается ввод не более 900 символов!" sqref="G4 H34:L34 L39 K39 J39 I39 H39 G42 G48 G54 G6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94:L94">
      <formula1>900</formula1>
    </dataValidation>
    <dataValidation type="list" allowBlank="1" showInputMessage="1" showErrorMessage="1" errorTitle="Ошибка" error="Выберите значение из списка" prompt="Выберите значение из списка" sqref="H7:L7 H45 H51 H57 H63 I45 I51 I57 I63 J45 J51 J57 J63 K45 K51 K57 K63 L45 L51 L57 L63">
      <formula1>kind_of_purchase_method</formula1>
    </dataValidation>
  </dataValidations>
  <hyperlinks>
    <hyperlink ref="I105" r:id="rId1" xr:uid="{591CAF8B-8532-CBA1-D22C-0.97F32076}"/>
    <hyperlink ref="J105" r:id="rId2" xr:uid="{2CF63BA8-A181-FEFC-44FA-0.C76B61B8}"/>
    <hyperlink ref="K105" r:id="rId3" xr:uid="{809B7B54-867C-F82B-4312-0.20695F0F}"/>
    <hyperlink ref="L105" r:id="rId4" xr:uid="{CD3B34ED-880D-C606-65A6-0.80035492}"/>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678845-556E-8063-3E8A-0.B32179D}" mc:Ignorable="x14ac xr xr2 xr3">
  <sheetPr>
    <tabColor theme="9" tint="-0.25"/>
  </sheetPr>
  <dimension ref="A1:CF56"/>
  <sheetViews>
    <sheetView topLeftCell="C4" showGridLines="0" zoomScale="90" workbookViewId="0">
      <selection activeCell="A41" sqref="A41:CF49"/>
    </sheetView>
  </sheetViews>
  <sheetFormatPr defaultColWidth="9.140625" customHeight="1" defaultRowHeight="11.25"/>
  <cols>
    <col min="1" max="1" style="952" width="14.7109375" hidden="1" customWidth="1"/>
    <col min="2" max="2" style="1641" width="17.00390625" hidden="1" customWidth="1"/>
    <col min="3" max="3" style="1644" width="3.00390625" customWidth="1"/>
    <col min="4" max="4" style="1644" width="1.8515625" hidden="1" customWidth="1"/>
    <col min="5" max="6" style="1644" width="7.00390625" customWidth="1"/>
    <col min="7" max="7" style="1644" width="29.00390625" customWidth="1"/>
    <col min="8" max="8" style="1644" width="3.7109375" customWidth="1"/>
    <col min="9" max="9" style="1644" width="5.00390625" customWidth="1"/>
    <col min="10" max="11" style="1644" width="24.00390625" customWidth="1"/>
    <col min="12" max="12" style="1644" width="3.00390625" customWidth="1"/>
    <col min="13" max="13" style="1644" width="6.00390625" customWidth="1"/>
    <col min="14" max="14" style="1644" width="25.00390625" customWidth="1"/>
    <col min="15" max="18" style="1644" width="18.00390625" customWidth="1"/>
    <col min="19" max="19" style="1644" width="93.00390625" customWidth="1"/>
    <col min="20" max="20" style="1644" width="10.00390625" customWidth="1"/>
    <col min="21" max="21" style="1651" width="10.00390625" customWidth="1"/>
    <col min="22" max="22" style="1651" width="11.00390625" customWidth="1"/>
    <col min="23" max="27" style="1641" width="10.00390625" customWidth="1"/>
    <col min="28" max="83" style="1644" width="8.00390625" customWidth="1"/>
    <col min="84" max="84" style="1644" width="9.140625" hidden="1"/>
  </cols>
  <sheetData>
    <row customHeight="1" ht="22.5" hidden="1">
      <c r="CF1" s="514" t="s">
        <v>14</v>
      </c>
    </row>
    <row customHeight="1" ht="11.25" hidden="1">
      <c r="CF2" s="514">
        <v>0</v>
      </c>
    </row>
    <row customHeight="1" ht="11.25" hidden="1">
      <c r="CF3" s="514">
        <v>0</v>
      </c>
    </row>
    <row customHeight="1" ht="3">
      <c r="C4" s="518"/>
      <c r="D4" s="518"/>
      <c r="E4" s="518"/>
      <c r="F4" s="518"/>
      <c r="G4" s="518"/>
      <c r="H4" s="518"/>
      <c r="I4" s="518"/>
      <c r="J4" s="518"/>
      <c r="K4" s="175"/>
      <c r="L4" s="175"/>
      <c r="M4" s="175"/>
      <c r="CF4" s="514">
        <v>3</v>
      </c>
    </row>
    <row customHeight="1" ht="29.25">
      <c r="C5" s="518"/>
      <c r="D5" s="1066"/>
      <c r="E5" s="2265" t="str">
        <f>FHD20_NAME_FORM</f>
        <v>Форма 11. Информация о расходах на капитальный и текущий ремонт основных средств</v>
      </c>
      <c r="F5" s="2265"/>
      <c r="G5" s="2265"/>
      <c r="H5" s="2265"/>
      <c r="I5" s="2265"/>
      <c r="J5" s="2265"/>
      <c r="K5" s="2265"/>
      <c r="L5" s="622"/>
      <c r="M5" s="622"/>
      <c r="CF5" s="514">
        <v>28</v>
      </c>
    </row>
    <row s="1644" customFormat="1" customHeight="1" ht="16.8">
      <c r="A6" s="619"/>
      <c r="B6" s="768"/>
      <c r="C6" s="518"/>
      <c r="D6" s="1067"/>
      <c r="E6" s="2204" t="str">
        <f>IF(org=0,"Не определено",org)</f>
        <v>АО "ДГК"</v>
      </c>
      <c r="F6" s="2204"/>
      <c r="G6" s="2204"/>
      <c r="H6" s="2204"/>
      <c r="I6" s="2204"/>
      <c r="J6" s="2204"/>
      <c r="K6" s="2204"/>
      <c r="L6" s="622"/>
      <c r="M6" s="622"/>
      <c r="U6" s="620"/>
      <c r="V6" s="620"/>
      <c r="W6" s="621"/>
      <c r="X6" s="768"/>
      <c r="Y6" s="768"/>
      <c r="Z6" s="768"/>
      <c r="AA6" s="768"/>
      <c r="CF6" s="767">
        <v>16</v>
      </c>
    </row>
    <row customHeight="1" ht="11.549999999999999">
      <c r="C7" s="518"/>
      <c r="D7" s="518"/>
      <c r="E7" s="518"/>
      <c r="F7" s="518"/>
      <c r="G7" s="531"/>
      <c r="H7" s="531"/>
      <c r="I7" s="531"/>
      <c r="J7" s="531"/>
      <c r="K7" s="623"/>
      <c r="L7" s="623"/>
      <c r="M7" s="623"/>
      <c r="R7" s="761"/>
      <c r="CF7" s="514">
        <v>11</v>
      </c>
    </row>
    <row s="1650" customFormat="1" customHeight="1" ht="4.2">
      <c r="A8" s="630"/>
      <c r="B8" s="575"/>
      <c r="C8" s="360"/>
      <c r="D8" s="360"/>
      <c r="E8" s="360"/>
      <c r="F8" s="360"/>
      <c r="G8" s="984"/>
      <c r="H8" s="984"/>
      <c r="I8" s="984"/>
      <c r="J8" s="984"/>
      <c r="K8" s="1027"/>
      <c r="L8" s="1027"/>
      <c r="M8" s="1027"/>
      <c r="R8" s="1028"/>
      <c r="U8" s="620"/>
      <c r="V8" s="620"/>
      <c r="W8" s="631"/>
      <c r="X8" s="575"/>
      <c r="Y8" s="575"/>
      <c r="Z8" s="575"/>
      <c r="AA8" s="575"/>
      <c r="CF8" s="505">
        <v>4</v>
      </c>
    </row>
    <row customHeight="1" ht="19.95">
      <c r="D9" s="298"/>
      <c r="E9" s="2129" t="s">
        <v>315</v>
      </c>
      <c r="F9" s="2130"/>
      <c r="G9" s="2130"/>
      <c r="H9" s="2130"/>
      <c r="I9" s="2130"/>
      <c r="J9" s="2130"/>
      <c r="K9" s="2130"/>
      <c r="L9" s="2130"/>
      <c r="M9" s="2130"/>
      <c r="N9" s="2130"/>
      <c r="O9" s="2130"/>
      <c r="P9" s="2130"/>
      <c r="Q9" s="2130"/>
      <c r="R9" s="2131"/>
      <c r="S9" s="2155" t="s">
        <v>316</v>
      </c>
      <c r="T9" s="343"/>
      <c r="CF9" s="514">
        <v>19</v>
      </c>
    </row>
    <row customHeight="1" ht="48.29999999999999">
      <c r="D10" s="560" t="s">
        <v>89</v>
      </c>
      <c r="E10" s="2155" t="s">
        <v>89</v>
      </c>
      <c r="F10" s="2155"/>
      <c r="G10" s="530" t="s">
        <v>317</v>
      </c>
      <c r="H10" s="2155" t="s">
        <v>89</v>
      </c>
      <c r="I10" s="2155"/>
      <c r="J10" s="530" t="s">
        <v>622</v>
      </c>
      <c r="K10" s="530" t="s">
        <v>623</v>
      </c>
      <c r="L10" s="2155" t="s">
        <v>89</v>
      </c>
      <c r="M10" s="2155"/>
      <c r="N10" s="530" t="s">
        <v>624</v>
      </c>
      <c r="O10" s="530" t="s">
        <v>625</v>
      </c>
      <c r="P10" s="530" t="s">
        <v>626</v>
      </c>
      <c r="Q10" s="530" t="s">
        <v>627</v>
      </c>
      <c r="R10" s="530" t="s">
        <v>628</v>
      </c>
      <c r="S10" s="2155"/>
      <c r="T10" s="343"/>
      <c r="CF10" s="514">
        <v>46</v>
      </c>
    </row>
    <row s="1651" customFormat="1" customHeight="1" ht="15">
      <c r="A11" s="1061"/>
      <c r="D11" s="1034" t="s">
        <v>118</v>
      </c>
      <c r="E11" s="1034"/>
      <c r="F11" s="1034" t="s">
        <v>103</v>
      </c>
      <c r="G11" s="1034" t="s">
        <v>91</v>
      </c>
      <c r="H11" s="1034"/>
      <c r="I11" s="1034" t="s">
        <v>92</v>
      </c>
      <c r="J11" s="1034" t="s">
        <v>119</v>
      </c>
      <c r="K11" s="1034" t="s">
        <v>93</v>
      </c>
      <c r="L11" s="1034"/>
      <c r="M11" s="1034" t="s">
        <v>94</v>
      </c>
      <c r="N11" s="1034" t="s">
        <v>120</v>
      </c>
      <c r="O11" s="1034" t="s">
        <v>165</v>
      </c>
      <c r="P11" s="1034" t="s">
        <v>166</v>
      </c>
      <c r="Q11" s="1034" t="s">
        <v>167</v>
      </c>
      <c r="R11" s="1034" t="s">
        <v>168</v>
      </c>
      <c r="S11" s="1034" t="s">
        <v>169</v>
      </c>
      <c r="U11" s="620"/>
      <c r="V11" s="620"/>
      <c r="W11" s="620"/>
      <c r="CF11" s="520">
        <v>0</v>
      </c>
    </row>
    <row s="1644" customFormat="1" customHeight="1" ht="1.05">
      <c r="A12" s="624"/>
      <c r="B12" s="371"/>
      <c r="D12" s="557"/>
      <c r="E12" s="355"/>
      <c r="F12" s="355"/>
      <c r="Q12" s="625"/>
      <c r="R12" s="626"/>
      <c r="T12" s="627"/>
      <c r="U12" s="628"/>
      <c r="V12" s="628"/>
      <c r="W12" s="629"/>
      <c r="X12" s="371"/>
      <c r="Y12" s="371"/>
      <c r="Z12" s="371"/>
      <c r="AA12" s="371"/>
      <c r="CF12" s="518">
        <v>1</v>
      </c>
    </row>
    <row s="1650" customFormat="1" customHeight="1" ht="1.05">
      <c r="A13" s="630"/>
      <c r="B13" s="575"/>
      <c r="D13" s="557" t="s">
        <v>391</v>
      </c>
      <c r="E13" s="569"/>
      <c r="F13" s="569"/>
      <c r="G13" s="569"/>
      <c r="H13" s="569"/>
      <c r="I13" s="569"/>
      <c r="J13" s="569"/>
      <c r="K13" s="569"/>
      <c r="L13" s="569"/>
      <c r="M13" s="569"/>
      <c r="N13" s="569"/>
      <c r="O13" s="569"/>
      <c r="P13" s="569"/>
      <c r="Q13" s="569"/>
      <c r="R13" s="569"/>
      <c r="T13" s="343"/>
      <c r="U13" s="620"/>
      <c r="V13" s="620"/>
      <c r="W13" s="631"/>
      <c r="X13" s="575"/>
      <c r="Y13" s="575"/>
      <c r="Z13" s="575"/>
      <c r="AA13" s="575"/>
      <c r="CF13" s="505">
        <v>1</v>
      </c>
    </row>
    <row s="1856" customFormat="1" customHeight="1" ht="15">
      <c r="A14" s="632" t="s">
        <v>126</v>
      </c>
      <c r="B14" s="633"/>
      <c r="C14" s="633"/>
      <c r="D14" s="2408" t="s">
        <v>118</v>
      </c>
      <c r="E14" s="2405" t="s">
        <v>114</v>
      </c>
      <c r="F14" s="2406"/>
      <c r="G14" s="2407"/>
      <c r="H14" s="2411" t="str">
        <f>IF(A14="","",INDEX(DIFFERENTIATION_UNMERGE_VD,MATCH(A14,DIFFERENTIATION_ID_DIFF,0)))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14" s="2411"/>
      <c r="J14" s="2411"/>
      <c r="K14" s="2411"/>
      <c r="L14" s="2411"/>
      <c r="M14" s="2411"/>
      <c r="N14" s="2411"/>
      <c r="O14" s="2411"/>
      <c r="P14" s="2411"/>
      <c r="Q14" s="2411"/>
      <c r="R14" s="2411"/>
      <c r="S14" s="728"/>
      <c r="T14" s="725"/>
      <c r="U14" s="634"/>
      <c r="V14" s="634"/>
      <c r="W14" s="635"/>
      <c r="X14" s="635"/>
      <c r="Y14" s="635"/>
      <c r="Z14" s="635"/>
      <c r="AA14" s="636"/>
      <c r="AB14" s="637"/>
      <c r="AC14" s="2403"/>
      <c r="AD14" s="638"/>
      <c r="AE14" s="639" t="s">
        <v>22</v>
      </c>
      <c r="AF14" s="639"/>
      <c r="AG14" s="640" t="s">
        <v>629</v>
      </c>
      <c r="AH14" s="641">
        <v>3</v>
      </c>
      <c r="AI14" s="634"/>
      <c r="AJ14" s="634"/>
      <c r="AK14" s="634"/>
      <c r="AL14" s="634"/>
      <c r="AM14" s="634"/>
      <c r="AN14" s="634"/>
      <c r="AO14" s="634"/>
      <c r="AP14" s="634"/>
      <c r="AQ14" s="634"/>
      <c r="AR14" s="634"/>
      <c r="AS14" s="634"/>
      <c r="AT14" s="634"/>
      <c r="AU14" s="634"/>
      <c r="AV14" s="634"/>
      <c r="AW14" s="634"/>
      <c r="AX14" s="634"/>
      <c r="AY14" s="634"/>
      <c r="AZ14" s="634"/>
      <c r="BA14" s="634"/>
      <c r="BB14" s="634"/>
      <c r="BC14" s="634"/>
      <c r="BD14" s="634"/>
      <c r="BE14" s="634"/>
      <c r="BF14" s="634"/>
      <c r="BG14" s="634"/>
      <c r="BH14" s="634"/>
      <c r="BI14" s="634"/>
      <c r="BJ14" s="634"/>
      <c r="BK14" s="634"/>
      <c r="BL14" s="634"/>
      <c r="BM14" s="634"/>
      <c r="BN14" s="634"/>
      <c r="BO14" s="634"/>
      <c r="BP14" s="634"/>
      <c r="BQ14" s="634"/>
      <c r="BR14" s="634"/>
      <c r="BS14" s="634"/>
      <c r="BT14" s="634"/>
      <c r="BU14" s="634"/>
      <c r="BV14" s="635"/>
      <c r="BW14" s="635"/>
      <c r="BX14" s="635"/>
      <c r="BY14" s="635"/>
      <c r="BZ14" s="635"/>
      <c r="CA14" s="635"/>
      <c r="CB14" s="635"/>
      <c r="CC14" s="635"/>
      <c r="CD14" s="635"/>
      <c r="CE14" s="635"/>
      <c r="CF14" s="302">
        <v>0</v>
      </c>
    </row>
    <row s="1856" customFormat="1" customHeight="1" ht="15">
      <c r="A15" s="632"/>
      <c r="B15" s="633"/>
      <c r="C15" s="633"/>
      <c r="D15" s="2409"/>
      <c r="E15" s="2405" t="s">
        <v>577</v>
      </c>
      <c r="F15" s="2406"/>
      <c r="G15" s="2407"/>
      <c r="H15" s="2411" t="str">
        <f>IF(A14="","",INDEX(DIFFERENTIATION_UNMERGE_AREA,MATCH(A14,DIFFERENTIATION_ID_DIFF,0)))</f>
        <v>Территория 1</v>
      </c>
      <c r="I15" s="2411"/>
      <c r="J15" s="2411"/>
      <c r="K15" s="2411"/>
      <c r="L15" s="2411"/>
      <c r="M15" s="2411"/>
      <c r="N15" s="2411"/>
      <c r="O15" s="2411"/>
      <c r="P15" s="2411"/>
      <c r="Q15" s="2411"/>
      <c r="R15" s="2411"/>
      <c r="S15" s="728"/>
      <c r="T15" s="725"/>
      <c r="U15" s="634"/>
      <c r="V15" s="634"/>
      <c r="W15" s="635"/>
      <c r="X15" s="635"/>
      <c r="Y15" s="635"/>
      <c r="Z15" s="635"/>
      <c r="AA15" s="636"/>
      <c r="AB15" s="637"/>
      <c r="AC15" s="2403"/>
      <c r="AD15" s="638"/>
      <c r="AE15" s="639"/>
      <c r="AF15" s="639"/>
      <c r="AG15" s="640"/>
      <c r="AH15" s="641"/>
      <c r="AI15" s="634"/>
      <c r="AJ15" s="634"/>
      <c r="AK15" s="634"/>
      <c r="AL15" s="634"/>
      <c r="AM15" s="634"/>
      <c r="AN15" s="634"/>
      <c r="AO15" s="634"/>
      <c r="AP15" s="634"/>
      <c r="AQ15" s="634"/>
      <c r="AR15" s="634"/>
      <c r="AS15" s="634"/>
      <c r="AT15" s="634"/>
      <c r="AU15" s="634"/>
      <c r="AV15" s="634"/>
      <c r="AW15" s="634"/>
      <c r="AX15" s="634"/>
      <c r="AY15" s="634"/>
      <c r="AZ15" s="634"/>
      <c r="BA15" s="634"/>
      <c r="BB15" s="634"/>
      <c r="BC15" s="634"/>
      <c r="BD15" s="634"/>
      <c r="BE15" s="634"/>
      <c r="BF15" s="634"/>
      <c r="BG15" s="634"/>
      <c r="BH15" s="634"/>
      <c r="BI15" s="634"/>
      <c r="BJ15" s="634"/>
      <c r="BK15" s="634"/>
      <c r="BL15" s="634"/>
      <c r="BM15" s="634"/>
      <c r="BN15" s="634"/>
      <c r="BO15" s="634"/>
      <c r="BP15" s="634"/>
      <c r="BQ15" s="634"/>
      <c r="BR15" s="634"/>
      <c r="BS15" s="634"/>
      <c r="BT15" s="634"/>
      <c r="BU15" s="634"/>
      <c r="BV15" s="635"/>
      <c r="BW15" s="635"/>
      <c r="BX15" s="635"/>
      <c r="BY15" s="635"/>
      <c r="BZ15" s="635"/>
      <c r="CA15" s="635"/>
      <c r="CB15" s="635"/>
      <c r="CC15" s="635"/>
      <c r="CD15" s="635"/>
      <c r="CE15" s="635"/>
      <c r="CF15" s="302">
        <v>0</v>
      </c>
    </row>
    <row s="1856" customFormat="1" customHeight="1" ht="15">
      <c r="A16" s="632"/>
      <c r="B16" s="633"/>
      <c r="C16" s="633"/>
      <c r="D16" s="2409"/>
      <c r="E16" s="2405" t="s">
        <v>578</v>
      </c>
      <c r="F16" s="2406"/>
      <c r="G16" s="2407"/>
      <c r="H16" s="2411" t="str">
        <f>IF(A14="","",INDEX(DIFFERENTIATION_UNMERGE_SYSTEM,MATCH(A14,DIFFERENTIATION_ID_DIFF,0)))</f>
        <v>Артемовская ТЭЦ, ТС г. Артем</v>
      </c>
      <c r="I16" s="2411"/>
      <c r="J16" s="2411"/>
      <c r="K16" s="2411"/>
      <c r="L16" s="2411"/>
      <c r="M16" s="2411"/>
      <c r="N16" s="2411"/>
      <c r="O16" s="2411"/>
      <c r="P16" s="2411"/>
      <c r="Q16" s="2411"/>
      <c r="R16" s="2411"/>
      <c r="S16" s="728"/>
      <c r="T16" s="725"/>
      <c r="U16" s="634"/>
      <c r="V16" s="634"/>
      <c r="W16" s="635"/>
      <c r="X16" s="635"/>
      <c r="Y16" s="635"/>
      <c r="Z16" s="635"/>
      <c r="AA16" s="636"/>
      <c r="AB16" s="637"/>
      <c r="AC16" s="2403"/>
      <c r="AD16" s="638"/>
      <c r="AE16" s="639"/>
      <c r="AF16" s="639"/>
      <c r="AG16" s="640"/>
      <c r="AH16" s="641"/>
      <c r="AI16" s="634"/>
      <c r="AJ16" s="634"/>
      <c r="AK16" s="634"/>
      <c r="AL16" s="634"/>
      <c r="AM16" s="634"/>
      <c r="AN16" s="634"/>
      <c r="AO16" s="634"/>
      <c r="AP16" s="634"/>
      <c r="AQ16" s="634"/>
      <c r="AR16" s="634"/>
      <c r="AS16" s="634"/>
      <c r="AT16" s="634"/>
      <c r="AU16" s="634"/>
      <c r="AV16" s="634"/>
      <c r="AW16" s="634"/>
      <c r="AX16" s="634"/>
      <c r="AY16" s="634"/>
      <c r="AZ16" s="634"/>
      <c r="BA16" s="634"/>
      <c r="BB16" s="634"/>
      <c r="BC16" s="634"/>
      <c r="BD16" s="634"/>
      <c r="BE16" s="634"/>
      <c r="BF16" s="634"/>
      <c r="BG16" s="634"/>
      <c r="BH16" s="634"/>
      <c r="BI16" s="634"/>
      <c r="BJ16" s="634"/>
      <c r="BK16" s="634"/>
      <c r="BL16" s="634"/>
      <c r="BM16" s="634"/>
      <c r="BN16" s="634"/>
      <c r="BO16" s="634"/>
      <c r="BP16" s="634"/>
      <c r="BQ16" s="634"/>
      <c r="BR16" s="634"/>
      <c r="BS16" s="634"/>
      <c r="BT16" s="634"/>
      <c r="BU16" s="634"/>
      <c r="BV16" s="635"/>
      <c r="BW16" s="635"/>
      <c r="BX16" s="635"/>
      <c r="BY16" s="635"/>
      <c r="BZ16" s="635"/>
      <c r="CA16" s="635"/>
      <c r="CB16" s="635"/>
      <c r="CC16" s="635"/>
      <c r="CD16" s="635"/>
      <c r="CE16" s="635"/>
      <c r="CF16" s="302">
        <v>0</v>
      </c>
    </row>
    <row s="1856" customFormat="1" customHeight="1" ht="22.5">
      <c r="A17" s="642"/>
      <c r="B17" s="426"/>
      <c r="C17" s="421"/>
      <c r="D17" s="2409"/>
      <c r="E17" s="2404" t="s">
        <v>630</v>
      </c>
      <c r="F17" s="2404"/>
      <c r="G17" s="2404"/>
      <c r="H17" s="2404"/>
      <c r="I17" s="2404"/>
      <c r="J17" s="2404"/>
      <c r="K17" s="2404"/>
      <c r="L17" s="2404"/>
      <c r="M17" s="2404"/>
      <c r="N17" s="2404"/>
      <c r="O17" s="2404"/>
      <c r="P17" s="2404"/>
      <c r="Q17" s="567">
        <f>SUMIF(T18:T19,"i",Q18:Q19)</f>
        <v>0</v>
      </c>
      <c r="R17" s="1026"/>
      <c r="S17" s="906" t="s">
        <v>631</v>
      </c>
      <c r="T17" s="726" t="s">
        <v>632</v>
      </c>
      <c r="U17" s="2402">
        <v>1</v>
      </c>
      <c r="V17" s="2402" t="str">
        <f>INDEX(B_FHD_FLAG_INDEX_1,1,MATCH(A14,B_FHD_FLAG_DIFFERENTIATION,0))</f>
        <v>отсутствует</v>
      </c>
      <c r="W17" s="426"/>
      <c r="X17" s="426"/>
      <c r="Y17" s="426"/>
      <c r="Z17" s="426"/>
      <c r="AA17" s="520"/>
      <c r="AB17" s="426"/>
      <c r="AC17" s="2403"/>
      <c r="AD17" s="638"/>
      <c r="AE17" s="426"/>
      <c r="AF17" s="426"/>
      <c r="AG17" s="520"/>
      <c r="AH17" s="520"/>
      <c r="AI17" s="520"/>
      <c r="AJ17" s="520"/>
      <c r="AK17" s="520"/>
      <c r="AL17" s="520"/>
      <c r="AM17" s="520"/>
      <c r="AN17" s="520"/>
      <c r="AO17" s="520"/>
      <c r="AP17" s="520"/>
      <c r="AQ17" s="520"/>
      <c r="AR17" s="520"/>
      <c r="AS17" s="520"/>
      <c r="AT17" s="520"/>
      <c r="AU17" s="520"/>
      <c r="AV17" s="520"/>
      <c r="AW17" s="520"/>
      <c r="AX17" s="520"/>
      <c r="AY17" s="520"/>
      <c r="AZ17" s="520"/>
      <c r="BA17" s="520"/>
      <c r="BB17" s="520"/>
      <c r="BC17" s="520"/>
      <c r="BD17" s="520"/>
      <c r="BE17" s="520"/>
      <c r="BF17" s="520"/>
      <c r="BG17" s="520"/>
      <c r="BH17" s="520"/>
      <c r="BI17" s="520"/>
      <c r="BJ17" s="520"/>
      <c r="BK17" s="520"/>
      <c r="BL17" s="520"/>
      <c r="BM17" s="520"/>
      <c r="BN17" s="520"/>
      <c r="BO17" s="520"/>
      <c r="BP17" s="520"/>
      <c r="BQ17" s="520"/>
      <c r="BR17" s="520"/>
      <c r="BS17" s="520"/>
      <c r="BT17" s="520"/>
      <c r="BU17" s="520"/>
      <c r="BV17" s="426"/>
      <c r="BW17" s="426"/>
      <c r="BX17" s="426"/>
      <c r="BY17" s="426"/>
      <c r="BZ17" s="426"/>
      <c r="CA17" s="426"/>
      <c r="CB17" s="426"/>
      <c r="CC17" s="426"/>
      <c r="CD17" s="426"/>
      <c r="CE17" s="426"/>
      <c r="CF17" s="302">
        <v>0</v>
      </c>
    </row>
    <row s="1856" customFormat="1" customHeight="1" ht="11.25" hidden="1">
      <c r="A18" s="643"/>
      <c r="B18" s="520"/>
      <c r="C18" s="520"/>
      <c r="D18" s="2409"/>
      <c r="E18" s="644"/>
      <c r="F18" s="644">
        <v>0</v>
      </c>
      <c r="G18" s="644"/>
      <c r="H18" s="644"/>
      <c r="I18" s="644"/>
      <c r="J18" s="644"/>
      <c r="K18" s="644"/>
      <c r="L18" s="644"/>
      <c r="M18" s="644"/>
      <c r="N18" s="644"/>
      <c r="O18" s="644"/>
      <c r="P18" s="644"/>
      <c r="Q18" s="644"/>
      <c r="R18" s="644"/>
      <c r="S18" s="645"/>
      <c r="T18" s="727"/>
      <c r="U18" s="2402"/>
      <c r="V18" s="2402"/>
      <c r="W18" s="520"/>
      <c r="X18" s="520"/>
      <c r="Y18" s="520"/>
      <c r="Z18" s="520"/>
      <c r="AA18" s="520"/>
      <c r="AB18" s="426"/>
      <c r="AC18" s="2403"/>
      <c r="AD18" s="638"/>
      <c r="AE18" s="426"/>
      <c r="AF18" s="426"/>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302">
        <v>0</v>
      </c>
    </row>
    <row s="1856" customFormat="1" customHeight="1" ht="11.25">
      <c r="A19" s="642"/>
      <c r="B19" s="426"/>
      <c r="C19" s="421"/>
      <c r="D19" s="2409"/>
      <c r="E19" s="658" t="s">
        <v>22</v>
      </c>
      <c r="F19" s="659" t="s">
        <v>22</v>
      </c>
      <c r="G19" s="659" t="s">
        <v>22</v>
      </c>
      <c r="H19" s="660" t="s">
        <v>22</v>
      </c>
      <c r="I19" s="660"/>
      <c r="J19" s="660"/>
      <c r="K19" s="660"/>
      <c r="L19" s="660"/>
      <c r="M19" s="660"/>
      <c r="N19" s="660"/>
      <c r="O19" s="660"/>
      <c r="P19" s="660"/>
      <c r="Q19" s="660"/>
      <c r="R19" s="661"/>
      <c r="S19" s="1029"/>
      <c r="T19" s="727"/>
      <c r="U19" s="2402"/>
      <c r="V19" s="2402"/>
      <c r="W19" s="426"/>
      <c r="X19" s="426"/>
      <c r="Y19" s="426"/>
      <c r="Z19" s="426"/>
      <c r="AA19" s="520"/>
      <c r="AB19" s="426"/>
      <c r="AC19" s="2403"/>
      <c r="AD19" s="638"/>
      <c r="AE19" s="426"/>
      <c r="AF19" s="426"/>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426"/>
      <c r="BW19" s="426"/>
      <c r="BX19" s="426"/>
      <c r="BY19" s="426"/>
      <c r="BZ19" s="426"/>
      <c r="CA19" s="426"/>
      <c r="CB19" s="426"/>
      <c r="CC19" s="426"/>
      <c r="CD19" s="426"/>
      <c r="CE19" s="426"/>
      <c r="CF19" s="302">
        <v>0</v>
      </c>
    </row>
    <row s="1856" customFormat="1" customHeight="1" ht="22.5">
      <c r="A20" s="642"/>
      <c r="B20" s="426"/>
      <c r="C20" s="421"/>
      <c r="D20" s="2409"/>
      <c r="E20" s="2404" t="s">
        <v>633</v>
      </c>
      <c r="F20" s="2404"/>
      <c r="G20" s="2404"/>
      <c r="H20" s="2404"/>
      <c r="I20" s="2404"/>
      <c r="J20" s="2404"/>
      <c r="K20" s="2404"/>
      <c r="L20" s="2404"/>
      <c r="M20" s="2404"/>
      <c r="N20" s="2404"/>
      <c r="O20" s="2404"/>
      <c r="P20" s="2404"/>
      <c r="Q20" s="567">
        <f>SUMIF(T21:T22,"i",Q21:Q22)</f>
        <v>0</v>
      </c>
      <c r="R20" s="1026"/>
      <c r="S20" s="718" t="s">
        <v>634</v>
      </c>
      <c r="T20" s="726" t="s">
        <v>632</v>
      </c>
      <c r="U20" s="2402">
        <v>2</v>
      </c>
      <c r="V20" s="2402" t="str">
        <f>INDEX(B_FHD_FLAG_INDEX_2,1,MATCH(A14,B_FHD_FLAG_DIFFERENTIATION,0))</f>
        <v>отсутствует</v>
      </c>
      <c r="W20" s="426"/>
      <c r="X20" s="426"/>
      <c r="Y20" s="426"/>
      <c r="Z20" s="426"/>
      <c r="AA20" s="520"/>
      <c r="AB20" s="426"/>
      <c r="AC20" s="715"/>
      <c r="AD20" s="638"/>
      <c r="AE20" s="426"/>
      <c r="AF20" s="426"/>
      <c r="AG20" s="520"/>
      <c r="AH20" s="520"/>
      <c r="AI20" s="520"/>
      <c r="AJ20" s="520"/>
      <c r="AK20" s="520"/>
      <c r="AL20" s="520"/>
      <c r="AM20" s="520"/>
      <c r="AN20" s="520"/>
      <c r="AO20" s="520"/>
      <c r="AP20" s="520"/>
      <c r="AQ20" s="520"/>
      <c r="AR20" s="520"/>
      <c r="AS20" s="520"/>
      <c r="AT20" s="520"/>
      <c r="AU20" s="520"/>
      <c r="AV20" s="520"/>
      <c r="AW20" s="520"/>
      <c r="AX20" s="520"/>
      <c r="AY20" s="520"/>
      <c r="AZ20" s="520"/>
      <c r="BA20" s="520"/>
      <c r="BB20" s="520"/>
      <c r="BC20" s="520"/>
      <c r="BD20" s="520"/>
      <c r="BE20" s="520"/>
      <c r="BF20" s="520"/>
      <c r="BG20" s="520"/>
      <c r="BH20" s="520"/>
      <c r="BI20" s="520"/>
      <c r="BJ20" s="520"/>
      <c r="BK20" s="520"/>
      <c r="BL20" s="520"/>
      <c r="BM20" s="520"/>
      <c r="BN20" s="520"/>
      <c r="BO20" s="520"/>
      <c r="BP20" s="520"/>
      <c r="BQ20" s="520"/>
      <c r="BR20" s="520"/>
      <c r="BS20" s="520"/>
      <c r="BT20" s="520"/>
      <c r="BU20" s="520"/>
      <c r="BV20" s="426"/>
      <c r="BW20" s="426"/>
      <c r="BX20" s="426"/>
      <c r="BY20" s="426"/>
      <c r="BZ20" s="426"/>
      <c r="CA20" s="426"/>
      <c r="CB20" s="426"/>
      <c r="CC20" s="426"/>
      <c r="CD20" s="426"/>
      <c r="CE20" s="426"/>
      <c r="CF20" s="302">
        <v>0</v>
      </c>
    </row>
    <row s="1856" customFormat="1" customHeight="1" ht="11.25" hidden="1">
      <c r="A21" s="717"/>
      <c r="B21" s="520"/>
      <c r="C21" s="520"/>
      <c r="D21" s="2409"/>
      <c r="E21" s="644"/>
      <c r="F21" s="644">
        <v>0</v>
      </c>
      <c r="G21" s="644"/>
      <c r="H21" s="644"/>
      <c r="I21" s="644"/>
      <c r="J21" s="644"/>
      <c r="K21" s="644"/>
      <c r="L21" s="644"/>
      <c r="M21" s="644"/>
      <c r="N21" s="644"/>
      <c r="O21" s="644"/>
      <c r="P21" s="644"/>
      <c r="Q21" s="644"/>
      <c r="R21" s="644"/>
      <c r="S21" s="645"/>
      <c r="T21" s="727"/>
      <c r="U21" s="2402"/>
      <c r="V21" s="2402"/>
      <c r="W21" s="520"/>
      <c r="X21" s="520"/>
      <c r="Y21" s="520"/>
      <c r="Z21" s="520"/>
      <c r="AA21" s="520"/>
      <c r="AB21" s="426"/>
      <c r="AC21" s="715"/>
      <c r="AD21" s="638"/>
      <c r="AE21" s="426"/>
      <c r="AF21" s="426"/>
      <c r="AG21" s="520"/>
      <c r="AH21" s="520"/>
      <c r="AI21" s="520"/>
      <c r="AJ21" s="520"/>
      <c r="AK21" s="520"/>
      <c r="AL21" s="520"/>
      <c r="AM21" s="520"/>
      <c r="AN21" s="520"/>
      <c r="AO21" s="520"/>
      <c r="AP21" s="520"/>
      <c r="AQ21" s="520"/>
      <c r="AR21" s="520"/>
      <c r="AS21" s="520"/>
      <c r="AT21" s="520"/>
      <c r="AU21" s="520"/>
      <c r="AV21" s="520"/>
      <c r="AW21" s="520"/>
      <c r="AX21" s="520"/>
      <c r="AY21" s="520"/>
      <c r="AZ21" s="520"/>
      <c r="BA21" s="520"/>
      <c r="BB21" s="520"/>
      <c r="BC21" s="520"/>
      <c r="BD21" s="520"/>
      <c r="BE21" s="520"/>
      <c r="BF21" s="520"/>
      <c r="BG21" s="520"/>
      <c r="BH21" s="520"/>
      <c r="BI21" s="520"/>
      <c r="BJ21" s="520"/>
      <c r="BK21" s="520"/>
      <c r="BL21" s="520"/>
      <c r="BM21" s="520"/>
      <c r="BN21" s="520"/>
      <c r="BO21" s="520"/>
      <c r="BP21" s="520"/>
      <c r="BQ21" s="520"/>
      <c r="BR21" s="520"/>
      <c r="BS21" s="520"/>
      <c r="BT21" s="520"/>
      <c r="BU21" s="520"/>
      <c r="BV21" s="520"/>
      <c r="BW21" s="520"/>
      <c r="BX21" s="520"/>
      <c r="BY21" s="520"/>
      <c r="BZ21" s="520"/>
      <c r="CA21" s="520"/>
      <c r="CB21" s="520"/>
      <c r="CC21" s="520"/>
      <c r="CD21" s="520"/>
      <c r="CE21" s="520"/>
      <c r="CF21" s="302">
        <v>0</v>
      </c>
    </row>
    <row s="1856" customFormat="1" customHeight="1" ht="11.25">
      <c r="A22" s="642"/>
      <c r="B22" s="426"/>
      <c r="C22" s="421"/>
      <c r="D22" s="2410"/>
      <c r="E22" s="658" t="s">
        <v>22</v>
      </c>
      <c r="F22" s="659" t="s">
        <v>22</v>
      </c>
      <c r="G22" s="659" t="s">
        <v>22</v>
      </c>
      <c r="H22" s="660" t="s">
        <v>22</v>
      </c>
      <c r="I22" s="660"/>
      <c r="J22" s="660"/>
      <c r="K22" s="660"/>
      <c r="L22" s="660"/>
      <c r="M22" s="660"/>
      <c r="N22" s="660"/>
      <c r="O22" s="660"/>
      <c r="P22" s="660"/>
      <c r="Q22" s="660"/>
      <c r="R22" s="661"/>
      <c r="S22" s="1029"/>
      <c r="T22" s="727"/>
      <c r="U22" s="2402"/>
      <c r="V22" s="2402"/>
      <c r="W22" s="426"/>
      <c r="X22" s="426"/>
      <c r="Y22" s="426"/>
      <c r="Z22" s="426"/>
      <c r="AA22" s="520"/>
      <c r="AB22" s="426"/>
      <c r="AC22" s="715"/>
      <c r="AD22" s="638"/>
      <c r="AE22" s="426"/>
      <c r="AF22" s="426"/>
      <c r="AG22" s="520"/>
      <c r="AH22" s="520"/>
      <c r="AI22" s="520"/>
      <c r="AJ22" s="520"/>
      <c r="AK22" s="520"/>
      <c r="AL22" s="520"/>
      <c r="AM22" s="520"/>
      <c r="AN22" s="520"/>
      <c r="AO22" s="520"/>
      <c r="AP22" s="520"/>
      <c r="AQ22" s="520"/>
      <c r="AR22" s="520"/>
      <c r="AS22" s="520"/>
      <c r="AT22" s="520"/>
      <c r="AU22" s="520"/>
      <c r="AV22" s="520"/>
      <c r="AW22" s="520"/>
      <c r="AX22" s="520"/>
      <c r="AY22" s="520"/>
      <c r="AZ22" s="520"/>
      <c r="BA22" s="520"/>
      <c r="BB22" s="520"/>
      <c r="BC22" s="520"/>
      <c r="BD22" s="520"/>
      <c r="BE22" s="520"/>
      <c r="BF22" s="520"/>
      <c r="BG22" s="520"/>
      <c r="BH22" s="520"/>
      <c r="BI22" s="520"/>
      <c r="BJ22" s="520"/>
      <c r="BK22" s="520"/>
      <c r="BL22" s="520"/>
      <c r="BM22" s="520"/>
      <c r="BN22" s="520"/>
      <c r="BO22" s="520"/>
      <c r="BP22" s="520"/>
      <c r="BQ22" s="520"/>
      <c r="BR22" s="520"/>
      <c r="BS22" s="520"/>
      <c r="BT22" s="520"/>
      <c r="BU22" s="520"/>
      <c r="BV22" s="426"/>
      <c r="BW22" s="426"/>
      <c r="BX22" s="426"/>
      <c r="BY22" s="426"/>
      <c r="BZ22" s="426"/>
      <c r="CA22" s="426"/>
      <c r="CB22" s="426"/>
      <c r="CC22" s="426"/>
      <c r="CD22" s="426"/>
      <c r="CE22" s="426"/>
      <c r="CF22" s="302">
        <v>0</v>
      </c>
    </row>
    <row customHeight="1" ht="15" hidden="1">
      <c r="A23" s="632" t="s">
        <v>131</v>
      </c>
      <c r="B23" s="633"/>
      <c r="C23" s="633" t="s">
        <v>22</v>
      </c>
      <c r="D23" s="2606" t="s">
        <v>167</v>
      </c>
      <c r="E23" s="2405" t="s">
        <v>114</v>
      </c>
      <c r="F23" s="2406"/>
      <c r="G23" s="2407"/>
      <c r="H23" s="2411" t="str">
        <f>IF(A23="","",INDEX(DIFFERENTIATION_UNMERGE_VD,MATCH(A23,DIFFERENTIATION_ID_DIFF,0)))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23" s="2411"/>
      <c r="J23" s="2411"/>
      <c r="K23" s="2411"/>
      <c r="L23" s="2411"/>
      <c r="M23" s="2411"/>
      <c r="N23" s="2411"/>
      <c r="O23" s="2411"/>
      <c r="P23" s="2411"/>
      <c r="Q23" s="2411"/>
      <c r="R23" s="2411"/>
      <c r="S23" s="728"/>
      <c r="T23" s="725"/>
      <c r="U23" s="634"/>
      <c r="V23" s="634"/>
      <c r="W23" s="635"/>
      <c r="X23" s="635"/>
      <c r="Y23" s="635"/>
      <c r="Z23" s="635"/>
      <c r="AA23" s="636"/>
      <c r="AB23" s="637"/>
      <c r="AC23" s="2403"/>
      <c r="AD23" s="638"/>
      <c r="AE23" s="639" t="s">
        <v>22</v>
      </c>
      <c r="AF23" s="639"/>
      <c r="AG23" s="640" t="s">
        <v>629</v>
      </c>
      <c r="AH23" s="641">
        <v>3</v>
      </c>
      <c r="AI23" s="634"/>
      <c r="AJ23" s="634"/>
      <c r="AK23" s="634"/>
      <c r="AL23" s="634"/>
      <c r="AM23" s="634"/>
      <c r="AN23" s="634"/>
      <c r="AO23" s="634"/>
      <c r="AP23" s="634"/>
      <c r="AQ23" s="634"/>
      <c r="AR23" s="634"/>
      <c r="AS23" s="634"/>
      <c r="AT23" s="634"/>
      <c r="AU23" s="634"/>
      <c r="AV23" s="634"/>
      <c r="AW23" s="634"/>
      <c r="AX23" s="634"/>
      <c r="AY23" s="634"/>
      <c r="AZ23" s="634"/>
      <c r="BA23" s="634"/>
      <c r="BB23" s="634"/>
      <c r="BC23" s="634"/>
      <c r="BD23" s="634"/>
      <c r="BE23" s="634"/>
      <c r="BF23" s="634"/>
      <c r="BG23" s="634"/>
      <c r="BH23" s="634"/>
      <c r="BI23" s="634"/>
      <c r="BJ23" s="634"/>
      <c r="BK23" s="634"/>
      <c r="BL23" s="634"/>
      <c r="BM23" s="634"/>
      <c r="BN23" s="634"/>
      <c r="BO23" s="634"/>
      <c r="BP23" s="634"/>
      <c r="BQ23" s="634"/>
      <c r="BR23" s="634"/>
      <c r="BS23" s="634"/>
      <c r="BT23" s="634"/>
      <c r="BU23" s="634"/>
      <c r="BV23" s="635"/>
      <c r="BW23" s="635"/>
      <c r="BX23" s="635"/>
      <c r="BY23" s="635"/>
      <c r="BZ23" s="635"/>
      <c r="CA23" s="635"/>
      <c r="CB23" s="635"/>
      <c r="CC23" s="635"/>
      <c r="CD23" s="635"/>
      <c r="CE23" s="635"/>
      <c r="CF23" s="1856"/>
    </row>
    <row customHeight="1" ht="15" hidden="1">
      <c r="A24" s="632"/>
      <c r="B24" s="633"/>
      <c r="C24" s="633"/>
      <c r="D24" s="2607"/>
      <c r="E24" s="2405" t="s">
        <v>577</v>
      </c>
      <c r="F24" s="2406"/>
      <c r="G24" s="2407"/>
      <c r="H24" s="2411" t="str">
        <f>IF(A23="","",INDEX(DIFFERENTIATION_UNMERGE_AREA,MATCH(A23,DIFFERENTIATION_ID_DIFF,0)))</f>
        <v>Территория 3</v>
      </c>
      <c r="I24" s="2411"/>
      <c r="J24" s="2411"/>
      <c r="K24" s="2411"/>
      <c r="L24" s="2411"/>
      <c r="M24" s="2411"/>
      <c r="N24" s="2411"/>
      <c r="O24" s="2411"/>
      <c r="P24" s="2411"/>
      <c r="Q24" s="2411"/>
      <c r="R24" s="2411"/>
      <c r="S24" s="728"/>
      <c r="T24" s="725"/>
      <c r="U24" s="634"/>
      <c r="V24" s="634"/>
      <c r="W24" s="635"/>
      <c r="X24" s="635"/>
      <c r="Y24" s="635"/>
      <c r="Z24" s="635"/>
      <c r="AA24" s="636"/>
      <c r="AB24" s="637"/>
      <c r="AC24" s="2403"/>
      <c r="AD24" s="638"/>
      <c r="AE24" s="639"/>
      <c r="AF24" s="639"/>
      <c r="AG24" s="640"/>
      <c r="AH24" s="641"/>
      <c r="AI24" s="634"/>
      <c r="AJ24" s="634"/>
      <c r="AK24" s="634"/>
      <c r="AL24" s="634"/>
      <c r="AM24" s="634"/>
      <c r="AN24" s="634"/>
      <c r="AO24" s="634"/>
      <c r="AP24" s="634"/>
      <c r="AQ24" s="634"/>
      <c r="AR24" s="634"/>
      <c r="AS24" s="634"/>
      <c r="AT24" s="634"/>
      <c r="AU24" s="634"/>
      <c r="AV24" s="634"/>
      <c r="AW24" s="634"/>
      <c r="AX24" s="634"/>
      <c r="AY24" s="634"/>
      <c r="AZ24" s="634"/>
      <c r="BA24" s="634"/>
      <c r="BB24" s="634"/>
      <c r="BC24" s="634"/>
      <c r="BD24" s="634"/>
      <c r="BE24" s="634"/>
      <c r="BF24" s="634"/>
      <c r="BG24" s="634"/>
      <c r="BH24" s="634"/>
      <c r="BI24" s="634"/>
      <c r="BJ24" s="634"/>
      <c r="BK24" s="634"/>
      <c r="BL24" s="634"/>
      <c r="BM24" s="634"/>
      <c r="BN24" s="634"/>
      <c r="BO24" s="634"/>
      <c r="BP24" s="634"/>
      <c r="BQ24" s="634"/>
      <c r="BR24" s="634"/>
      <c r="BS24" s="634"/>
      <c r="BT24" s="634"/>
      <c r="BU24" s="634"/>
      <c r="BV24" s="635"/>
      <c r="BW24" s="635"/>
      <c r="BX24" s="635"/>
      <c r="BY24" s="635"/>
      <c r="BZ24" s="635"/>
      <c r="CA24" s="635"/>
      <c r="CB24" s="635"/>
      <c r="CC24" s="635"/>
      <c r="CD24" s="635"/>
      <c r="CE24" s="635"/>
      <c r="CF24" s="1856"/>
    </row>
    <row customHeight="1" ht="15" hidden="1">
      <c r="A25" s="632"/>
      <c r="B25" s="633"/>
      <c r="C25" s="633"/>
      <c r="D25" s="2607"/>
      <c r="E25" s="2405" t="s">
        <v>578</v>
      </c>
      <c r="F25" s="2406"/>
      <c r="G25" s="2407"/>
      <c r="H25" s="2411" t="str">
        <f>IF(A23="","",INDEX(DIFFERENTIATION_UNMERGE_SYSTEM,MATCH(A23,DIFFERENTIATION_ID_DIFF,0)))</f>
        <v>Партизанская ГРЭС, ТС г. Партизанск</v>
      </c>
      <c r="I25" s="2411"/>
      <c r="J25" s="2411"/>
      <c r="K25" s="2411"/>
      <c r="L25" s="2411"/>
      <c r="M25" s="2411"/>
      <c r="N25" s="2411"/>
      <c r="O25" s="2411"/>
      <c r="P25" s="2411"/>
      <c r="Q25" s="2411"/>
      <c r="R25" s="2411"/>
      <c r="S25" s="728"/>
      <c r="T25" s="725"/>
      <c r="U25" s="634"/>
      <c r="V25" s="634"/>
      <c r="W25" s="635"/>
      <c r="X25" s="635"/>
      <c r="Y25" s="635"/>
      <c r="Z25" s="635"/>
      <c r="AA25" s="636"/>
      <c r="AB25" s="637"/>
      <c r="AC25" s="2403"/>
      <c r="AD25" s="638"/>
      <c r="AE25" s="639"/>
      <c r="AF25" s="639"/>
      <c r="AG25" s="640"/>
      <c r="AH25" s="641"/>
      <c r="AI25" s="634"/>
      <c r="AJ25" s="634"/>
      <c r="AK25" s="634"/>
      <c r="AL25" s="634"/>
      <c r="AM25" s="634"/>
      <c r="AN25" s="634"/>
      <c r="AO25" s="634"/>
      <c r="AP25" s="634"/>
      <c r="AQ25" s="634"/>
      <c r="AR25" s="634"/>
      <c r="AS25" s="634"/>
      <c r="AT25" s="634"/>
      <c r="AU25" s="634"/>
      <c r="AV25" s="634"/>
      <c r="AW25" s="634"/>
      <c r="AX25" s="634"/>
      <c r="AY25" s="634"/>
      <c r="AZ25" s="634"/>
      <c r="BA25" s="634"/>
      <c r="BB25" s="634"/>
      <c r="BC25" s="634"/>
      <c r="BD25" s="634"/>
      <c r="BE25" s="634"/>
      <c r="BF25" s="634"/>
      <c r="BG25" s="634"/>
      <c r="BH25" s="634"/>
      <c r="BI25" s="634"/>
      <c r="BJ25" s="634"/>
      <c r="BK25" s="634"/>
      <c r="BL25" s="634"/>
      <c r="BM25" s="634"/>
      <c r="BN25" s="634"/>
      <c r="BO25" s="634"/>
      <c r="BP25" s="634"/>
      <c r="BQ25" s="634"/>
      <c r="BR25" s="634"/>
      <c r="BS25" s="634"/>
      <c r="BT25" s="634"/>
      <c r="BU25" s="634"/>
      <c r="BV25" s="635"/>
      <c r="BW25" s="635"/>
      <c r="BX25" s="635"/>
      <c r="BY25" s="635"/>
      <c r="BZ25" s="635"/>
      <c r="CA25" s="635"/>
      <c r="CB25" s="635"/>
      <c r="CC25" s="635"/>
      <c r="CD25" s="635"/>
      <c r="CE25" s="635"/>
      <c r="CF25" s="1856"/>
    </row>
    <row customHeight="1" ht="24.75" hidden="1">
      <c r="A26" s="1814"/>
      <c r="B26" s="1169"/>
      <c r="C26" s="421"/>
      <c r="D26" s="2607"/>
      <c r="E26" s="2404" t="s">
        <v>630</v>
      </c>
      <c r="F26" s="2404"/>
      <c r="G26" s="2404"/>
      <c r="H26" s="2404"/>
      <c r="I26" s="2404"/>
      <c r="J26" s="2404"/>
      <c r="K26" s="2404"/>
      <c r="L26" s="2404"/>
      <c r="M26" s="2404"/>
      <c r="N26" s="2404"/>
      <c r="O26" s="2404"/>
      <c r="P26" s="2404"/>
      <c r="Q26" s="567">
        <f>SUMIF(T27:T28,"i",Q27:Q28)</f>
        <v>0</v>
      </c>
      <c r="R26" s="1026"/>
      <c r="S26" s="1806" t="s">
        <v>631</v>
      </c>
      <c r="T26" s="726" t="s">
        <v>632</v>
      </c>
      <c r="U26" s="2402">
        <v>1</v>
      </c>
      <c r="V26" s="2402" t="str">
        <f>INDEX(B_FHD_FLAG_INDEX_1,1,MATCH(A23,B_FHD_FLAG_DIFFERENTIATION,0))</f>
        <v>отсутствует</v>
      </c>
      <c r="W26" s="1169"/>
      <c r="X26" s="1169"/>
      <c r="Y26" s="1169"/>
      <c r="Z26" s="1169"/>
      <c r="AA26" s="1645"/>
      <c r="AB26" s="1169"/>
      <c r="AC26" s="2403"/>
      <c r="AD26" s="638"/>
      <c r="AE26" s="1169"/>
      <c r="AF26" s="1169"/>
      <c r="AG26" s="1645"/>
      <c r="AH26" s="1645"/>
      <c r="AI26" s="1645"/>
      <c r="AJ26" s="1645"/>
      <c r="AK26" s="1645"/>
      <c r="AL26" s="1645"/>
      <c r="AM26" s="1645"/>
      <c r="AN26" s="1645"/>
      <c r="AO26" s="1645"/>
      <c r="AP26" s="1645"/>
      <c r="AQ26" s="1645"/>
      <c r="AR26" s="1645"/>
      <c r="AS26" s="1645"/>
      <c r="AT26" s="1645"/>
      <c r="AU26" s="1645"/>
      <c r="AV26" s="1645"/>
      <c r="AW26" s="1645"/>
      <c r="AX26" s="1645"/>
      <c r="AY26" s="1645"/>
      <c r="AZ26" s="1645"/>
      <c r="BA26" s="1645"/>
      <c r="BB26" s="1645"/>
      <c r="BC26" s="1645"/>
      <c r="BD26" s="1645"/>
      <c r="BE26" s="1645"/>
      <c r="BF26" s="1645"/>
      <c r="BG26" s="1645"/>
      <c r="BH26" s="1645"/>
      <c r="BI26" s="1645"/>
      <c r="BJ26" s="1645"/>
      <c r="BK26" s="1645"/>
      <c r="BL26" s="1645"/>
      <c r="BM26" s="1645"/>
      <c r="BN26" s="1645"/>
      <c r="BO26" s="1645"/>
      <c r="BP26" s="1645"/>
      <c r="BQ26" s="1645"/>
      <c r="BR26" s="1645"/>
      <c r="BS26" s="1645"/>
      <c r="BT26" s="1645"/>
      <c r="BU26" s="1645"/>
      <c r="BV26" s="1169"/>
      <c r="BW26" s="1169"/>
      <c r="BX26" s="1169"/>
      <c r="BY26" s="1169"/>
      <c r="BZ26" s="1169"/>
      <c r="CA26" s="1169"/>
      <c r="CB26" s="1169"/>
      <c r="CC26" s="1169"/>
      <c r="CD26" s="1169"/>
      <c r="CE26" s="1169"/>
      <c r="CF26" s="1856"/>
    </row>
    <row customHeight="1" ht="11.25" hidden="1">
      <c r="A27" s="1801"/>
      <c r="B27" s="1645"/>
      <c r="C27" s="1645"/>
      <c r="D27" s="2607"/>
      <c r="E27" s="644"/>
      <c r="F27" s="644">
        <v>0</v>
      </c>
      <c r="G27" s="644"/>
      <c r="H27" s="644"/>
      <c r="I27" s="644"/>
      <c r="J27" s="644"/>
      <c r="K27" s="644"/>
      <c r="L27" s="644"/>
      <c r="M27" s="644"/>
      <c r="N27" s="644"/>
      <c r="O27" s="644"/>
      <c r="P27" s="644"/>
      <c r="Q27" s="644"/>
      <c r="R27" s="644"/>
      <c r="S27" s="645"/>
      <c r="T27" s="727"/>
      <c r="U27" s="2402"/>
      <c r="V27" s="2402"/>
      <c r="W27" s="1645"/>
      <c r="X27" s="1645"/>
      <c r="Y27" s="1645"/>
      <c r="Z27" s="1645"/>
      <c r="AA27" s="1645"/>
      <c r="AB27" s="1169"/>
      <c r="AC27" s="2403"/>
      <c r="AD27" s="638"/>
      <c r="AE27" s="1169"/>
      <c r="AF27" s="1169"/>
      <c r="AG27" s="1645"/>
      <c r="AH27" s="1645"/>
      <c r="AI27" s="1645"/>
      <c r="AJ27" s="1645"/>
      <c r="AK27" s="1645"/>
      <c r="AL27" s="1645"/>
      <c r="AM27" s="1645"/>
      <c r="AN27" s="1645"/>
      <c r="AO27" s="1645"/>
      <c r="AP27" s="1645"/>
      <c r="AQ27" s="1645"/>
      <c r="AR27" s="1645"/>
      <c r="AS27" s="1645"/>
      <c r="AT27" s="1645"/>
      <c r="AU27" s="1645"/>
      <c r="AV27" s="1645"/>
      <c r="AW27" s="1645"/>
      <c r="AX27" s="1645"/>
      <c r="AY27" s="1645"/>
      <c r="AZ27" s="1645"/>
      <c r="BA27" s="1645"/>
      <c r="BB27" s="1645"/>
      <c r="BC27" s="1645"/>
      <c r="BD27" s="1645"/>
      <c r="BE27" s="1645"/>
      <c r="BF27" s="1645"/>
      <c r="BG27" s="1645"/>
      <c r="BH27" s="1645"/>
      <c r="BI27" s="1645"/>
      <c r="BJ27" s="1645"/>
      <c r="BK27" s="1645"/>
      <c r="BL27" s="1645"/>
      <c r="BM27" s="1645"/>
      <c r="BN27" s="1645"/>
      <c r="BO27" s="1645"/>
      <c r="BP27" s="1645"/>
      <c r="BQ27" s="1645"/>
      <c r="BR27" s="1645"/>
      <c r="BS27" s="1645"/>
      <c r="BT27" s="1645"/>
      <c r="BU27" s="1645"/>
      <c r="BV27" s="1645"/>
      <c r="BW27" s="1645"/>
      <c r="BX27" s="1645"/>
      <c r="BY27" s="1645"/>
      <c r="BZ27" s="1645"/>
      <c r="CA27" s="1645"/>
      <c r="CB27" s="1645"/>
      <c r="CC27" s="1645"/>
      <c r="CD27" s="1645"/>
      <c r="CE27" s="1645"/>
      <c r="CF27" s="1856"/>
    </row>
    <row customHeight="1" ht="11.25" hidden="1">
      <c r="A28" s="1814"/>
      <c r="B28" s="1169"/>
      <c r="C28" s="421"/>
      <c r="D28" s="2607"/>
      <c r="E28" s="658" t="s">
        <v>22</v>
      </c>
      <c r="F28" s="1177" t="s">
        <v>22</v>
      </c>
      <c r="G28" s="1177" t="s">
        <v>635</v>
      </c>
      <c r="H28" s="660" t="s">
        <v>22</v>
      </c>
      <c r="I28" s="660"/>
      <c r="J28" s="660"/>
      <c r="K28" s="660"/>
      <c r="L28" s="660"/>
      <c r="M28" s="660"/>
      <c r="N28" s="660"/>
      <c r="O28" s="660"/>
      <c r="P28" s="660"/>
      <c r="Q28" s="660"/>
      <c r="R28" s="661"/>
      <c r="S28" s="662"/>
      <c r="T28" s="727"/>
      <c r="U28" s="2402"/>
      <c r="V28" s="2402"/>
      <c r="W28" s="1169"/>
      <c r="X28" s="1169"/>
      <c r="Y28" s="1169"/>
      <c r="Z28" s="1169"/>
      <c r="AA28" s="1645"/>
      <c r="AB28" s="1169"/>
      <c r="AC28" s="2403"/>
      <c r="AD28" s="638"/>
      <c r="AE28" s="1169"/>
      <c r="AF28" s="1169"/>
      <c r="AG28" s="1645"/>
      <c r="AH28" s="1645"/>
      <c r="AI28" s="1645"/>
      <c r="AJ28" s="1645"/>
      <c r="AK28" s="1645"/>
      <c r="AL28" s="1645"/>
      <c r="AM28" s="1645"/>
      <c r="AN28" s="1645"/>
      <c r="AO28" s="1645"/>
      <c r="AP28" s="1645"/>
      <c r="AQ28" s="1645"/>
      <c r="AR28" s="1645"/>
      <c r="AS28" s="1645"/>
      <c r="AT28" s="1645"/>
      <c r="AU28" s="1645"/>
      <c r="AV28" s="1645"/>
      <c r="AW28" s="1645"/>
      <c r="AX28" s="1645"/>
      <c r="AY28" s="1645"/>
      <c r="AZ28" s="1645"/>
      <c r="BA28" s="1645"/>
      <c r="BB28" s="1645"/>
      <c r="BC28" s="1645"/>
      <c r="BD28" s="1645"/>
      <c r="BE28" s="1645"/>
      <c r="BF28" s="1645"/>
      <c r="BG28" s="1645"/>
      <c r="BH28" s="1645"/>
      <c r="BI28" s="1645"/>
      <c r="BJ28" s="1645"/>
      <c r="BK28" s="1645"/>
      <c r="BL28" s="1645"/>
      <c r="BM28" s="1645"/>
      <c r="BN28" s="1645"/>
      <c r="BO28" s="1645"/>
      <c r="BP28" s="1645"/>
      <c r="BQ28" s="1645"/>
      <c r="BR28" s="1645"/>
      <c r="BS28" s="1645"/>
      <c r="BT28" s="1645"/>
      <c r="BU28" s="1645"/>
      <c r="BV28" s="1169"/>
      <c r="BW28" s="1169"/>
      <c r="BX28" s="1169"/>
      <c r="BY28" s="1169"/>
      <c r="BZ28" s="1169"/>
      <c r="CA28" s="1169"/>
      <c r="CB28" s="1169"/>
      <c r="CC28" s="1169"/>
      <c r="CD28" s="1169"/>
      <c r="CE28" s="1169"/>
      <c r="CF28" s="1856"/>
    </row>
    <row customHeight="1" ht="5.25" hidden="1">
      <c r="A29" s="1801"/>
      <c r="B29" s="1645"/>
      <c r="C29" s="1645"/>
      <c r="D29" s="2607"/>
      <c r="E29" s="1048"/>
      <c r="F29" s="1048"/>
      <c r="G29" s="1048"/>
      <c r="H29" s="1048"/>
      <c r="I29" s="1048"/>
      <c r="J29" s="1048"/>
      <c r="K29" s="1048"/>
      <c r="L29" s="1048"/>
      <c r="M29" s="1048"/>
      <c r="N29" s="1048"/>
      <c r="O29" s="1048"/>
      <c r="P29" s="1048"/>
      <c r="Q29" s="1049"/>
      <c r="R29" s="1050"/>
      <c r="S29" s="1051"/>
      <c r="T29" s="726" t="s">
        <v>632</v>
      </c>
      <c r="U29" s="2402">
        <v>1</v>
      </c>
      <c r="V29" s="2402" t="s">
        <v>594</v>
      </c>
      <c r="W29" s="1645"/>
      <c r="X29" s="1645"/>
      <c r="Y29" s="1645"/>
      <c r="Z29" s="1645"/>
      <c r="AA29" s="1645"/>
      <c r="AB29" s="1645"/>
      <c r="AC29" s="1046"/>
      <c r="AD29" s="1047"/>
      <c r="AE29" s="1645"/>
      <c r="AF29" s="1645"/>
      <c r="AG29" s="1645"/>
      <c r="AH29" s="1645"/>
      <c r="AI29" s="1645"/>
      <c r="AJ29" s="1645"/>
      <c r="AK29" s="1645"/>
      <c r="AL29" s="1645"/>
      <c r="AM29" s="1645"/>
      <c r="AN29" s="1645"/>
      <c r="AO29" s="1645"/>
      <c r="AP29" s="1645"/>
      <c r="AQ29" s="1645"/>
      <c r="AR29" s="1645"/>
      <c r="AS29" s="1645"/>
      <c r="AT29" s="1645"/>
      <c r="AU29" s="1645"/>
      <c r="AV29" s="1645"/>
      <c r="AW29" s="1645"/>
      <c r="AX29" s="1645"/>
      <c r="AY29" s="1645"/>
      <c r="AZ29" s="1645"/>
      <c r="BA29" s="1645"/>
      <c r="BB29" s="1645"/>
      <c r="BC29" s="1645"/>
      <c r="BD29" s="1645"/>
      <c r="BE29" s="1645"/>
      <c r="BF29" s="1645"/>
      <c r="BG29" s="1645"/>
      <c r="BH29" s="1645"/>
      <c r="BI29" s="1645"/>
      <c r="BJ29" s="1645"/>
      <c r="BK29" s="1645"/>
      <c r="BL29" s="1645"/>
      <c r="BM29" s="1645"/>
      <c r="BN29" s="1645"/>
      <c r="BO29" s="1645"/>
      <c r="BP29" s="1645"/>
      <c r="BQ29" s="1645"/>
      <c r="BR29" s="1645"/>
      <c r="BS29" s="1645"/>
      <c r="BT29" s="1645"/>
      <c r="BU29" s="1645"/>
      <c r="BV29" s="1645"/>
      <c r="BW29" s="1645"/>
      <c r="BX29" s="1645"/>
      <c r="BY29" s="1645"/>
      <c r="BZ29" s="1645"/>
      <c r="CA29" s="1645"/>
      <c r="CB29" s="1645"/>
      <c r="CC29" s="1645"/>
      <c r="CD29" s="1645"/>
      <c r="CE29" s="1645"/>
      <c r="CF29" s="1325"/>
    </row>
    <row customHeight="1" ht="5.25" hidden="1">
      <c r="A30" s="1801"/>
      <c r="B30" s="1645"/>
      <c r="C30" s="1645"/>
      <c r="D30" s="2607"/>
      <c r="E30" s="644"/>
      <c r="F30" s="644"/>
      <c r="G30" s="644"/>
      <c r="H30" s="644"/>
      <c r="I30" s="644"/>
      <c r="J30" s="644"/>
      <c r="K30" s="644"/>
      <c r="L30" s="644"/>
      <c r="M30" s="644"/>
      <c r="N30" s="644"/>
      <c r="O30" s="644"/>
      <c r="P30" s="644"/>
      <c r="Q30" s="644"/>
      <c r="R30" s="644"/>
      <c r="S30" s="645"/>
      <c r="T30" s="727"/>
      <c r="U30" s="2402"/>
      <c r="V30" s="2402"/>
      <c r="W30" s="1645"/>
      <c r="X30" s="1645"/>
      <c r="Y30" s="1645"/>
      <c r="Z30" s="1645"/>
      <c r="AA30" s="1645"/>
      <c r="AB30" s="1645"/>
      <c r="AC30" s="1046"/>
      <c r="AD30" s="1047"/>
      <c r="AE30" s="1645"/>
      <c r="AF30" s="1645"/>
      <c r="AG30" s="1645"/>
      <c r="AH30" s="1645"/>
      <c r="AI30" s="1645"/>
      <c r="AJ30" s="1645"/>
      <c r="AK30" s="1645"/>
      <c r="AL30" s="1645"/>
      <c r="AM30" s="1645"/>
      <c r="AN30" s="1645"/>
      <c r="AO30" s="1645"/>
      <c r="AP30" s="1645"/>
      <c r="AQ30" s="1645"/>
      <c r="AR30" s="1645"/>
      <c r="AS30" s="1645"/>
      <c r="AT30" s="1645"/>
      <c r="AU30" s="1645"/>
      <c r="AV30" s="1645"/>
      <c r="AW30" s="1645"/>
      <c r="AX30" s="1645"/>
      <c r="AY30" s="1645"/>
      <c r="AZ30" s="1645"/>
      <c r="BA30" s="1645"/>
      <c r="BB30" s="1645"/>
      <c r="BC30" s="1645"/>
      <c r="BD30" s="1645"/>
      <c r="BE30" s="1645"/>
      <c r="BF30" s="1645"/>
      <c r="BG30" s="1645"/>
      <c r="BH30" s="1645"/>
      <c r="BI30" s="1645"/>
      <c r="BJ30" s="1645"/>
      <c r="BK30" s="1645"/>
      <c r="BL30" s="1645"/>
      <c r="BM30" s="1645"/>
      <c r="BN30" s="1645"/>
      <c r="BO30" s="1645"/>
      <c r="BP30" s="1645"/>
      <c r="BQ30" s="1645"/>
      <c r="BR30" s="1645"/>
      <c r="BS30" s="1645"/>
      <c r="BT30" s="1645"/>
      <c r="BU30" s="1645"/>
      <c r="BV30" s="1645"/>
      <c r="BW30" s="1645"/>
      <c r="BX30" s="1645"/>
      <c r="BY30" s="1645"/>
      <c r="BZ30" s="1645"/>
      <c r="CA30" s="1645"/>
      <c r="CB30" s="1645"/>
      <c r="CC30" s="1645"/>
      <c r="CD30" s="1645"/>
      <c r="CE30" s="1645"/>
      <c r="CF30" s="1325"/>
    </row>
    <row customHeight="1" ht="5.25" hidden="1">
      <c r="A31" s="1801"/>
      <c r="B31" s="1645"/>
      <c r="C31" s="1645"/>
      <c r="D31" s="2608"/>
      <c r="E31" s="1052"/>
      <c r="F31" s="1053"/>
      <c r="G31" s="1053"/>
      <c r="H31" s="1054"/>
      <c r="I31" s="1054"/>
      <c r="J31" s="1054"/>
      <c r="K31" s="1054"/>
      <c r="L31" s="1054"/>
      <c r="M31" s="1054"/>
      <c r="N31" s="1054"/>
      <c r="O31" s="1054"/>
      <c r="P31" s="1054"/>
      <c r="Q31" s="1054"/>
      <c r="R31" s="955"/>
      <c r="S31" s="1055"/>
      <c r="T31" s="727"/>
      <c r="U31" s="2402"/>
      <c r="V31" s="2402"/>
      <c r="W31" s="1645"/>
      <c r="X31" s="1645"/>
      <c r="Y31" s="1645"/>
      <c r="Z31" s="1645"/>
      <c r="AA31" s="1645"/>
      <c r="AB31" s="1645"/>
      <c r="AC31" s="1046"/>
      <c r="AD31" s="1047"/>
      <c r="AE31" s="1645"/>
      <c r="AF31" s="1645"/>
      <c r="AG31" s="1645"/>
      <c r="AH31" s="1645"/>
      <c r="AI31" s="1645"/>
      <c r="AJ31" s="1645"/>
      <c r="AK31" s="1645"/>
      <c r="AL31" s="1645"/>
      <c r="AM31" s="1645"/>
      <c r="AN31" s="1645"/>
      <c r="AO31" s="1645"/>
      <c r="AP31" s="1645"/>
      <c r="AQ31" s="1645"/>
      <c r="AR31" s="1645"/>
      <c r="AS31" s="1645"/>
      <c r="AT31" s="1645"/>
      <c r="AU31" s="1645"/>
      <c r="AV31" s="1645"/>
      <c r="AW31" s="1645"/>
      <c r="AX31" s="1645"/>
      <c r="AY31" s="1645"/>
      <c r="AZ31" s="1645"/>
      <c r="BA31" s="1645"/>
      <c r="BB31" s="1645"/>
      <c r="BC31" s="1645"/>
      <c r="BD31" s="1645"/>
      <c r="BE31" s="1645"/>
      <c r="BF31" s="1645"/>
      <c r="BG31" s="1645"/>
      <c r="BH31" s="1645"/>
      <c r="BI31" s="1645"/>
      <c r="BJ31" s="1645"/>
      <c r="BK31" s="1645"/>
      <c r="BL31" s="1645"/>
      <c r="BM31" s="1645"/>
      <c r="BN31" s="1645"/>
      <c r="BO31" s="1645"/>
      <c r="BP31" s="1645"/>
      <c r="BQ31" s="1645"/>
      <c r="BR31" s="1645"/>
      <c r="BS31" s="1645"/>
      <c r="BT31" s="1645"/>
      <c r="BU31" s="1645"/>
      <c r="BV31" s="1645"/>
      <c r="BW31" s="1645"/>
      <c r="BX31" s="1645"/>
      <c r="BY31" s="1645"/>
      <c r="BZ31" s="1645"/>
      <c r="CA31" s="1645"/>
      <c r="CB31" s="1645"/>
      <c r="CC31" s="1645"/>
      <c r="CD31" s="1645"/>
      <c r="CE31" s="1645"/>
      <c r="CF31" s="1325"/>
    </row>
    <row customHeight="1" ht="15" hidden="1">
      <c r="A32" s="632" t="s">
        <v>134</v>
      </c>
      <c r="B32" s="633"/>
      <c r="C32" s="633" t="s">
        <v>22</v>
      </c>
      <c r="D32" s="2606" t="s">
        <v>636</v>
      </c>
      <c r="E32" s="2405" t="s">
        <v>114</v>
      </c>
      <c r="F32" s="2406"/>
      <c r="G32" s="2407"/>
      <c r="H32" s="2411" t="str">
        <f>IF(A32="","",INDEX(DIFFERENTIATION_UNMERGE_VD,MATCH(A32,DIFFERENTIATION_ID_DIFF,0)))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32" s="2411"/>
      <c r="J32" s="2411"/>
      <c r="K32" s="2411"/>
      <c r="L32" s="2411"/>
      <c r="M32" s="2411"/>
      <c r="N32" s="2411"/>
      <c r="O32" s="2411"/>
      <c r="P32" s="2411"/>
      <c r="Q32" s="2411"/>
      <c r="R32" s="2411"/>
      <c r="S32" s="728"/>
      <c r="T32" s="725"/>
      <c r="U32" s="634"/>
      <c r="V32" s="634"/>
      <c r="W32" s="635"/>
      <c r="X32" s="635"/>
      <c r="Y32" s="635"/>
      <c r="Z32" s="635"/>
      <c r="AA32" s="636"/>
      <c r="AB32" s="637"/>
      <c r="AC32" s="2403"/>
      <c r="AD32" s="638"/>
      <c r="AE32" s="639" t="s">
        <v>22</v>
      </c>
      <c r="AF32" s="639"/>
      <c r="AG32" s="640" t="s">
        <v>629</v>
      </c>
      <c r="AH32" s="641">
        <v>3</v>
      </c>
      <c r="AI32" s="634"/>
      <c r="AJ32" s="634"/>
      <c r="AK32" s="634"/>
      <c r="AL32" s="634"/>
      <c r="AM32" s="634"/>
      <c r="AN32" s="634"/>
      <c r="AO32" s="634"/>
      <c r="AP32" s="634"/>
      <c r="AQ32" s="634"/>
      <c r="AR32" s="634"/>
      <c r="AS32" s="634"/>
      <c r="AT32" s="634"/>
      <c r="AU32" s="634"/>
      <c r="AV32" s="634"/>
      <c r="AW32" s="634"/>
      <c r="AX32" s="634"/>
      <c r="AY32" s="634"/>
      <c r="AZ32" s="634"/>
      <c r="BA32" s="634"/>
      <c r="BB32" s="634"/>
      <c r="BC32" s="634"/>
      <c r="BD32" s="634"/>
      <c r="BE32" s="634"/>
      <c r="BF32" s="634"/>
      <c r="BG32" s="634"/>
      <c r="BH32" s="634"/>
      <c r="BI32" s="634"/>
      <c r="BJ32" s="634"/>
      <c r="BK32" s="634"/>
      <c r="BL32" s="634"/>
      <c r="BM32" s="634"/>
      <c r="BN32" s="634"/>
      <c r="BO32" s="634"/>
      <c r="BP32" s="634"/>
      <c r="BQ32" s="634"/>
      <c r="BR32" s="634"/>
      <c r="BS32" s="634"/>
      <c r="BT32" s="634"/>
      <c r="BU32" s="634"/>
      <c r="BV32" s="635"/>
      <c r="BW32" s="635"/>
      <c r="BX32" s="635"/>
      <c r="BY32" s="635"/>
      <c r="BZ32" s="635"/>
      <c r="CA32" s="635"/>
      <c r="CB32" s="635"/>
      <c r="CC32" s="635"/>
      <c r="CD32" s="635"/>
      <c r="CE32" s="635"/>
      <c r="CF32" s="1856"/>
    </row>
    <row customHeight="1" ht="15" hidden="1">
      <c r="A33" s="632"/>
      <c r="B33" s="633"/>
      <c r="C33" s="633"/>
      <c r="D33" s="2607"/>
      <c r="E33" s="2405" t="s">
        <v>577</v>
      </c>
      <c r="F33" s="2406"/>
      <c r="G33" s="2407"/>
      <c r="H33" s="2411" t="str">
        <f>IF(A32="","",INDEX(DIFFERENTIATION_UNMERGE_AREA,MATCH(A32,DIFFERENTIATION_ID_DIFF,0)))</f>
        <v>Территория 2</v>
      </c>
      <c r="I33" s="2411"/>
      <c r="J33" s="2411"/>
      <c r="K33" s="2411"/>
      <c r="L33" s="2411"/>
      <c r="M33" s="2411"/>
      <c r="N33" s="2411"/>
      <c r="O33" s="2411"/>
      <c r="P33" s="2411"/>
      <c r="Q33" s="2411"/>
      <c r="R33" s="2411"/>
      <c r="S33" s="728"/>
      <c r="T33" s="725"/>
      <c r="U33" s="634"/>
      <c r="V33" s="634"/>
      <c r="W33" s="635"/>
      <c r="X33" s="635"/>
      <c r="Y33" s="635"/>
      <c r="Z33" s="635"/>
      <c r="AA33" s="636"/>
      <c r="AB33" s="637"/>
      <c r="AC33" s="2403"/>
      <c r="AD33" s="638"/>
      <c r="AE33" s="639"/>
      <c r="AF33" s="639"/>
      <c r="AG33" s="640"/>
      <c r="AH33" s="641"/>
      <c r="AI33" s="634"/>
      <c r="AJ33" s="634"/>
      <c r="AK33" s="634"/>
      <c r="AL33" s="634"/>
      <c r="AM33" s="634"/>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c r="BV33" s="635"/>
      <c r="BW33" s="635"/>
      <c r="BX33" s="635"/>
      <c r="BY33" s="635"/>
      <c r="BZ33" s="635"/>
      <c r="CA33" s="635"/>
      <c r="CB33" s="635"/>
      <c r="CC33" s="635"/>
      <c r="CD33" s="635"/>
      <c r="CE33" s="635"/>
      <c r="CF33" s="1856"/>
    </row>
    <row customHeight="1" ht="15" hidden="1">
      <c r="A34" s="632"/>
      <c r="B34" s="633"/>
      <c r="C34" s="633"/>
      <c r="D34" s="2607"/>
      <c r="E34" s="2405" t="s">
        <v>578</v>
      </c>
      <c r="F34" s="2406"/>
      <c r="G34" s="2407"/>
      <c r="H34" s="2411" t="str">
        <f>IF(A32="","",INDEX(DIFFERENTIATION_UNMERGE_SYSTEM,MATCH(A32,DIFFERENTIATION_ID_DIFF,0)))</f>
        <v>Восточная ТЭЦ, котельные г. Владивосток, ТС г. Владивосток</v>
      </c>
      <c r="I34" s="2411"/>
      <c r="J34" s="2411"/>
      <c r="K34" s="2411"/>
      <c r="L34" s="2411"/>
      <c r="M34" s="2411"/>
      <c r="N34" s="2411"/>
      <c r="O34" s="2411"/>
      <c r="P34" s="2411"/>
      <c r="Q34" s="2411"/>
      <c r="R34" s="2411"/>
      <c r="S34" s="728"/>
      <c r="T34" s="725"/>
      <c r="U34" s="634"/>
      <c r="V34" s="634"/>
      <c r="W34" s="635"/>
      <c r="X34" s="635"/>
      <c r="Y34" s="635"/>
      <c r="Z34" s="635"/>
      <c r="AA34" s="636"/>
      <c r="AB34" s="637"/>
      <c r="AC34" s="2403"/>
      <c r="AD34" s="638"/>
      <c r="AE34" s="639"/>
      <c r="AF34" s="639"/>
      <c r="AG34" s="640"/>
      <c r="AH34" s="641"/>
      <c r="AI34" s="634"/>
      <c r="AJ34" s="634"/>
      <c r="AK34" s="634"/>
      <c r="AL34" s="634"/>
      <c r="AM34" s="634"/>
      <c r="AN34" s="634"/>
      <c r="AO34" s="634"/>
      <c r="AP34" s="634"/>
      <c r="AQ34" s="634"/>
      <c r="AR34" s="634"/>
      <c r="AS34" s="634"/>
      <c r="AT34" s="634"/>
      <c r="AU34" s="634"/>
      <c r="AV34" s="634"/>
      <c r="AW34" s="634"/>
      <c r="AX34" s="634"/>
      <c r="AY34" s="634"/>
      <c r="AZ34" s="634"/>
      <c r="BA34" s="634"/>
      <c r="BB34" s="634"/>
      <c r="BC34" s="634"/>
      <c r="BD34" s="634"/>
      <c r="BE34" s="634"/>
      <c r="BF34" s="634"/>
      <c r="BG34" s="634"/>
      <c r="BH34" s="634"/>
      <c r="BI34" s="634"/>
      <c r="BJ34" s="634"/>
      <c r="BK34" s="634"/>
      <c r="BL34" s="634"/>
      <c r="BM34" s="634"/>
      <c r="BN34" s="634"/>
      <c r="BO34" s="634"/>
      <c r="BP34" s="634"/>
      <c r="BQ34" s="634"/>
      <c r="BR34" s="634"/>
      <c r="BS34" s="634"/>
      <c r="BT34" s="634"/>
      <c r="BU34" s="634"/>
      <c r="BV34" s="635"/>
      <c r="BW34" s="635"/>
      <c r="BX34" s="635"/>
      <c r="BY34" s="635"/>
      <c r="BZ34" s="635"/>
      <c r="CA34" s="635"/>
      <c r="CB34" s="635"/>
      <c r="CC34" s="635"/>
      <c r="CD34" s="635"/>
      <c r="CE34" s="635"/>
      <c r="CF34" s="1856"/>
    </row>
    <row customHeight="1" ht="24.75" hidden="1">
      <c r="A35" s="1814"/>
      <c r="B35" s="1169"/>
      <c r="C35" s="421"/>
      <c r="D35" s="2607"/>
      <c r="E35" s="2404" t="s">
        <v>630</v>
      </c>
      <c r="F35" s="2404"/>
      <c r="G35" s="2404"/>
      <c r="H35" s="2404"/>
      <c r="I35" s="2404"/>
      <c r="J35" s="2404"/>
      <c r="K35" s="2404"/>
      <c r="L35" s="2404"/>
      <c r="M35" s="2404"/>
      <c r="N35" s="2404"/>
      <c r="O35" s="2404"/>
      <c r="P35" s="2404"/>
      <c r="Q35" s="567">
        <f>SUMIF(T36:T37,"i",Q36:Q37)</f>
        <v>0</v>
      </c>
      <c r="R35" s="1026"/>
      <c r="S35" s="1806" t="s">
        <v>631</v>
      </c>
      <c r="T35" s="726" t="s">
        <v>632</v>
      </c>
      <c r="U35" s="2402">
        <v>1</v>
      </c>
      <c r="V35" s="2402" t="str">
        <f>INDEX(B_FHD_FLAG_INDEX_1,1,MATCH(A32,B_FHD_FLAG_DIFFERENTIATION,0))</f>
        <v>отсутствует</v>
      </c>
      <c r="W35" s="1169"/>
      <c r="X35" s="1169"/>
      <c r="Y35" s="1169"/>
      <c r="Z35" s="1169"/>
      <c r="AA35" s="1645"/>
      <c r="AB35" s="1169"/>
      <c r="AC35" s="2403"/>
      <c r="AD35" s="638"/>
      <c r="AE35" s="1169"/>
      <c r="AF35" s="1169"/>
      <c r="AG35" s="1645"/>
      <c r="AH35" s="1645"/>
      <c r="AI35" s="1645"/>
      <c r="AJ35" s="1645"/>
      <c r="AK35" s="1645"/>
      <c r="AL35" s="1645"/>
      <c r="AM35" s="1645"/>
      <c r="AN35" s="1645"/>
      <c r="AO35" s="1645"/>
      <c r="AP35" s="1645"/>
      <c r="AQ35" s="1645"/>
      <c r="AR35" s="1645"/>
      <c r="AS35" s="1645"/>
      <c r="AT35" s="1645"/>
      <c r="AU35" s="1645"/>
      <c r="AV35" s="1645"/>
      <c r="AW35" s="1645"/>
      <c r="AX35" s="1645"/>
      <c r="AY35" s="1645"/>
      <c r="AZ35" s="1645"/>
      <c r="BA35" s="1645"/>
      <c r="BB35" s="1645"/>
      <c r="BC35" s="1645"/>
      <c r="BD35" s="1645"/>
      <c r="BE35" s="1645"/>
      <c r="BF35" s="1645"/>
      <c r="BG35" s="1645"/>
      <c r="BH35" s="1645"/>
      <c r="BI35" s="1645"/>
      <c r="BJ35" s="1645"/>
      <c r="BK35" s="1645"/>
      <c r="BL35" s="1645"/>
      <c r="BM35" s="1645"/>
      <c r="BN35" s="1645"/>
      <c r="BO35" s="1645"/>
      <c r="BP35" s="1645"/>
      <c r="BQ35" s="1645"/>
      <c r="BR35" s="1645"/>
      <c r="BS35" s="1645"/>
      <c r="BT35" s="1645"/>
      <c r="BU35" s="1645"/>
      <c r="BV35" s="1169"/>
      <c r="BW35" s="1169"/>
      <c r="BX35" s="1169"/>
      <c r="BY35" s="1169"/>
      <c r="BZ35" s="1169"/>
      <c r="CA35" s="1169"/>
      <c r="CB35" s="1169"/>
      <c r="CC35" s="1169"/>
      <c r="CD35" s="1169"/>
      <c r="CE35" s="1169"/>
      <c r="CF35" s="1856"/>
    </row>
    <row customHeight="1" ht="11.25" hidden="1">
      <c r="A36" s="1801"/>
      <c r="B36" s="1645"/>
      <c r="C36" s="1645"/>
      <c r="D36" s="2607"/>
      <c r="E36" s="644"/>
      <c r="F36" s="644">
        <v>0</v>
      </c>
      <c r="G36" s="644"/>
      <c r="H36" s="644"/>
      <c r="I36" s="644"/>
      <c r="J36" s="644"/>
      <c r="K36" s="644"/>
      <c r="L36" s="644"/>
      <c r="M36" s="644"/>
      <c r="N36" s="644"/>
      <c r="O36" s="644"/>
      <c r="P36" s="644"/>
      <c r="Q36" s="644"/>
      <c r="R36" s="644"/>
      <c r="S36" s="645"/>
      <c r="T36" s="727"/>
      <c r="U36" s="2402"/>
      <c r="V36" s="2402"/>
      <c r="W36" s="1645"/>
      <c r="X36" s="1645"/>
      <c r="Y36" s="1645"/>
      <c r="Z36" s="1645"/>
      <c r="AA36" s="1645"/>
      <c r="AB36" s="1169"/>
      <c r="AC36" s="2403"/>
      <c r="AD36" s="638"/>
      <c r="AE36" s="1169"/>
      <c r="AF36" s="1169"/>
      <c r="AG36" s="1645"/>
      <c r="AH36" s="1645"/>
      <c r="AI36" s="1645"/>
      <c r="AJ36" s="1645"/>
      <c r="AK36" s="1645"/>
      <c r="AL36" s="1645"/>
      <c r="AM36" s="1645"/>
      <c r="AN36" s="1645"/>
      <c r="AO36" s="1645"/>
      <c r="AP36" s="1645"/>
      <c r="AQ36" s="1645"/>
      <c r="AR36" s="1645"/>
      <c r="AS36" s="1645"/>
      <c r="AT36" s="1645"/>
      <c r="AU36" s="1645"/>
      <c r="AV36" s="1645"/>
      <c r="AW36" s="1645"/>
      <c r="AX36" s="1645"/>
      <c r="AY36" s="1645"/>
      <c r="AZ36" s="1645"/>
      <c r="BA36" s="1645"/>
      <c r="BB36" s="1645"/>
      <c r="BC36" s="1645"/>
      <c r="BD36" s="1645"/>
      <c r="BE36" s="1645"/>
      <c r="BF36" s="1645"/>
      <c r="BG36" s="1645"/>
      <c r="BH36" s="1645"/>
      <c r="BI36" s="1645"/>
      <c r="BJ36" s="1645"/>
      <c r="BK36" s="1645"/>
      <c r="BL36" s="1645"/>
      <c r="BM36" s="1645"/>
      <c r="BN36" s="1645"/>
      <c r="BO36" s="1645"/>
      <c r="BP36" s="1645"/>
      <c r="BQ36" s="1645"/>
      <c r="BR36" s="1645"/>
      <c r="BS36" s="1645"/>
      <c r="BT36" s="1645"/>
      <c r="BU36" s="1645"/>
      <c r="BV36" s="1645"/>
      <c r="BW36" s="1645"/>
      <c r="BX36" s="1645"/>
      <c r="BY36" s="1645"/>
      <c r="BZ36" s="1645"/>
      <c r="CA36" s="1645"/>
      <c r="CB36" s="1645"/>
      <c r="CC36" s="1645"/>
      <c r="CD36" s="1645"/>
      <c r="CE36" s="1645"/>
      <c r="CF36" s="1856"/>
    </row>
    <row customHeight="1" ht="11.25" hidden="1">
      <c r="A37" s="1814"/>
      <c r="B37" s="1169"/>
      <c r="C37" s="421"/>
      <c r="D37" s="2607"/>
      <c r="E37" s="658" t="s">
        <v>22</v>
      </c>
      <c r="F37" s="1177" t="s">
        <v>22</v>
      </c>
      <c r="G37" s="1177" t="s">
        <v>635</v>
      </c>
      <c r="H37" s="660" t="s">
        <v>22</v>
      </c>
      <c r="I37" s="660"/>
      <c r="J37" s="660"/>
      <c r="K37" s="660"/>
      <c r="L37" s="660"/>
      <c r="M37" s="660"/>
      <c r="N37" s="660"/>
      <c r="O37" s="660"/>
      <c r="P37" s="660"/>
      <c r="Q37" s="660"/>
      <c r="R37" s="661"/>
      <c r="S37" s="662"/>
      <c r="T37" s="727"/>
      <c r="U37" s="2402"/>
      <c r="V37" s="2402"/>
      <c r="W37" s="1169"/>
      <c r="X37" s="1169"/>
      <c r="Y37" s="1169"/>
      <c r="Z37" s="1169"/>
      <c r="AA37" s="1645"/>
      <c r="AB37" s="1169"/>
      <c r="AC37" s="2403"/>
      <c r="AD37" s="638"/>
      <c r="AE37" s="1169"/>
      <c r="AF37" s="1169"/>
      <c r="AG37" s="1645"/>
      <c r="AH37" s="1645"/>
      <c r="AI37" s="1645"/>
      <c r="AJ37" s="1645"/>
      <c r="AK37" s="1645"/>
      <c r="AL37" s="1645"/>
      <c r="AM37" s="1645"/>
      <c r="AN37" s="1645"/>
      <c r="AO37" s="1645"/>
      <c r="AP37" s="1645"/>
      <c r="AQ37" s="1645"/>
      <c r="AR37" s="1645"/>
      <c r="AS37" s="1645"/>
      <c r="AT37" s="1645"/>
      <c r="AU37" s="1645"/>
      <c r="AV37" s="1645"/>
      <c r="AW37" s="1645"/>
      <c r="AX37" s="1645"/>
      <c r="AY37" s="1645"/>
      <c r="AZ37" s="1645"/>
      <c r="BA37" s="1645"/>
      <c r="BB37" s="1645"/>
      <c r="BC37" s="1645"/>
      <c r="BD37" s="1645"/>
      <c r="BE37" s="1645"/>
      <c r="BF37" s="1645"/>
      <c r="BG37" s="1645"/>
      <c r="BH37" s="1645"/>
      <c r="BI37" s="1645"/>
      <c r="BJ37" s="1645"/>
      <c r="BK37" s="1645"/>
      <c r="BL37" s="1645"/>
      <c r="BM37" s="1645"/>
      <c r="BN37" s="1645"/>
      <c r="BO37" s="1645"/>
      <c r="BP37" s="1645"/>
      <c r="BQ37" s="1645"/>
      <c r="BR37" s="1645"/>
      <c r="BS37" s="1645"/>
      <c r="BT37" s="1645"/>
      <c r="BU37" s="1645"/>
      <c r="BV37" s="1169"/>
      <c r="BW37" s="1169"/>
      <c r="BX37" s="1169"/>
      <c r="BY37" s="1169"/>
      <c r="BZ37" s="1169"/>
      <c r="CA37" s="1169"/>
      <c r="CB37" s="1169"/>
      <c r="CC37" s="1169"/>
      <c r="CD37" s="1169"/>
      <c r="CE37" s="1169"/>
      <c r="CF37" s="1856"/>
    </row>
    <row customHeight="1" ht="5.25" hidden="1">
      <c r="A38" s="1801"/>
      <c r="B38" s="1645"/>
      <c r="C38" s="1645"/>
      <c r="D38" s="2607"/>
      <c r="E38" s="1048"/>
      <c r="F38" s="1048"/>
      <c r="G38" s="1048"/>
      <c r="H38" s="1048"/>
      <c r="I38" s="1048"/>
      <c r="J38" s="1048"/>
      <c r="K38" s="1048"/>
      <c r="L38" s="1048"/>
      <c r="M38" s="1048"/>
      <c r="N38" s="1048"/>
      <c r="O38" s="1048"/>
      <c r="P38" s="1048"/>
      <c r="Q38" s="1049"/>
      <c r="R38" s="1050"/>
      <c r="S38" s="1051"/>
      <c r="T38" s="726" t="s">
        <v>632</v>
      </c>
      <c r="U38" s="2402">
        <v>1</v>
      </c>
      <c r="V38" s="2402" t="s">
        <v>594</v>
      </c>
      <c r="W38" s="1645"/>
      <c r="X38" s="1645"/>
      <c r="Y38" s="1645"/>
      <c r="Z38" s="1645"/>
      <c r="AA38" s="1645"/>
      <c r="AB38" s="1645"/>
      <c r="AC38" s="1046"/>
      <c r="AD38" s="1047"/>
      <c r="AE38" s="1645"/>
      <c r="AF38" s="1645"/>
      <c r="AG38" s="1645"/>
      <c r="AH38" s="1645"/>
      <c r="AI38" s="1645"/>
      <c r="AJ38" s="1645"/>
      <c r="AK38" s="1645"/>
      <c r="AL38" s="1645"/>
      <c r="AM38" s="1645"/>
      <c r="AN38" s="1645"/>
      <c r="AO38" s="1645"/>
      <c r="AP38" s="1645"/>
      <c r="AQ38" s="1645"/>
      <c r="AR38" s="1645"/>
      <c r="AS38" s="1645"/>
      <c r="AT38" s="1645"/>
      <c r="AU38" s="1645"/>
      <c r="AV38" s="1645"/>
      <c r="AW38" s="1645"/>
      <c r="AX38" s="1645"/>
      <c r="AY38" s="1645"/>
      <c r="AZ38" s="1645"/>
      <c r="BA38" s="1645"/>
      <c r="BB38" s="1645"/>
      <c r="BC38" s="1645"/>
      <c r="BD38" s="1645"/>
      <c r="BE38" s="1645"/>
      <c r="BF38" s="1645"/>
      <c r="BG38" s="1645"/>
      <c r="BH38" s="1645"/>
      <c r="BI38" s="1645"/>
      <c r="BJ38" s="1645"/>
      <c r="BK38" s="1645"/>
      <c r="BL38" s="1645"/>
      <c r="BM38" s="1645"/>
      <c r="BN38" s="1645"/>
      <c r="BO38" s="1645"/>
      <c r="BP38" s="1645"/>
      <c r="BQ38" s="1645"/>
      <c r="BR38" s="1645"/>
      <c r="BS38" s="1645"/>
      <c r="BT38" s="1645"/>
      <c r="BU38" s="1645"/>
      <c r="BV38" s="1645"/>
      <c r="BW38" s="1645"/>
      <c r="BX38" s="1645"/>
      <c r="BY38" s="1645"/>
      <c r="BZ38" s="1645"/>
      <c r="CA38" s="1645"/>
      <c r="CB38" s="1645"/>
      <c r="CC38" s="1645"/>
      <c r="CD38" s="1645"/>
      <c r="CE38" s="1645"/>
      <c r="CF38" s="1325"/>
    </row>
    <row customHeight="1" ht="5.25" hidden="1">
      <c r="A39" s="1801"/>
      <c r="B39" s="1645"/>
      <c r="C39" s="1645"/>
      <c r="D39" s="2607"/>
      <c r="E39" s="644"/>
      <c r="F39" s="644"/>
      <c r="G39" s="644"/>
      <c r="H39" s="644"/>
      <c r="I39" s="644"/>
      <c r="J39" s="644"/>
      <c r="K39" s="644"/>
      <c r="L39" s="644"/>
      <c r="M39" s="644"/>
      <c r="N39" s="644"/>
      <c r="O39" s="644"/>
      <c r="P39" s="644"/>
      <c r="Q39" s="644"/>
      <c r="R39" s="644"/>
      <c r="S39" s="645"/>
      <c r="T39" s="727"/>
      <c r="U39" s="2402"/>
      <c r="V39" s="2402"/>
      <c r="W39" s="1645"/>
      <c r="X39" s="1645"/>
      <c r="Y39" s="1645"/>
      <c r="Z39" s="1645"/>
      <c r="AA39" s="1645"/>
      <c r="AB39" s="1645"/>
      <c r="AC39" s="1046"/>
      <c r="AD39" s="1047"/>
      <c r="AE39" s="1645"/>
      <c r="AF39" s="1645"/>
      <c r="AG39" s="1645"/>
      <c r="AH39" s="1645"/>
      <c r="AI39" s="1645"/>
      <c r="AJ39" s="1645"/>
      <c r="AK39" s="1645"/>
      <c r="AL39" s="1645"/>
      <c r="AM39" s="1645"/>
      <c r="AN39" s="1645"/>
      <c r="AO39" s="1645"/>
      <c r="AP39" s="1645"/>
      <c r="AQ39" s="1645"/>
      <c r="AR39" s="1645"/>
      <c r="AS39" s="1645"/>
      <c r="AT39" s="1645"/>
      <c r="AU39" s="1645"/>
      <c r="AV39" s="1645"/>
      <c r="AW39" s="1645"/>
      <c r="AX39" s="1645"/>
      <c r="AY39" s="1645"/>
      <c r="AZ39" s="1645"/>
      <c r="BA39" s="1645"/>
      <c r="BB39" s="1645"/>
      <c r="BC39" s="1645"/>
      <c r="BD39" s="1645"/>
      <c r="BE39" s="1645"/>
      <c r="BF39" s="1645"/>
      <c r="BG39" s="1645"/>
      <c r="BH39" s="1645"/>
      <c r="BI39" s="1645"/>
      <c r="BJ39" s="1645"/>
      <c r="BK39" s="1645"/>
      <c r="BL39" s="1645"/>
      <c r="BM39" s="1645"/>
      <c r="BN39" s="1645"/>
      <c r="BO39" s="1645"/>
      <c r="BP39" s="1645"/>
      <c r="BQ39" s="1645"/>
      <c r="BR39" s="1645"/>
      <c r="BS39" s="1645"/>
      <c r="BT39" s="1645"/>
      <c r="BU39" s="1645"/>
      <c r="BV39" s="1645"/>
      <c r="BW39" s="1645"/>
      <c r="BX39" s="1645"/>
      <c r="BY39" s="1645"/>
      <c r="BZ39" s="1645"/>
      <c r="CA39" s="1645"/>
      <c r="CB39" s="1645"/>
      <c r="CC39" s="1645"/>
      <c r="CD39" s="1645"/>
      <c r="CE39" s="1645"/>
      <c r="CF39" s="1325"/>
    </row>
    <row customHeight="1" ht="5.25" hidden="1">
      <c r="A40" s="1801"/>
      <c r="B40" s="1645"/>
      <c r="C40" s="1645"/>
      <c r="D40" s="2608"/>
      <c r="E40" s="1052"/>
      <c r="F40" s="1053"/>
      <c r="G40" s="1053"/>
      <c r="H40" s="1054"/>
      <c r="I40" s="1054"/>
      <c r="J40" s="1054"/>
      <c r="K40" s="1054"/>
      <c r="L40" s="1054"/>
      <c r="M40" s="1054"/>
      <c r="N40" s="1054"/>
      <c r="O40" s="1054"/>
      <c r="P40" s="1054"/>
      <c r="Q40" s="1054"/>
      <c r="R40" s="955"/>
      <c r="S40" s="1055"/>
      <c r="T40" s="727"/>
      <c r="U40" s="2402"/>
      <c r="V40" s="2402"/>
      <c r="W40" s="1645"/>
      <c r="X40" s="1645"/>
      <c r="Y40" s="1645"/>
      <c r="Z40" s="1645"/>
      <c r="AA40" s="1645"/>
      <c r="AB40" s="1645"/>
      <c r="AC40" s="1046"/>
      <c r="AD40" s="1047"/>
      <c r="AE40" s="1645"/>
      <c r="AF40" s="1645"/>
      <c r="AG40" s="1645"/>
      <c r="AH40" s="1645"/>
      <c r="AI40" s="1645"/>
      <c r="AJ40" s="1645"/>
      <c r="AK40" s="1645"/>
      <c r="AL40" s="1645"/>
      <c r="AM40" s="1645"/>
      <c r="AN40" s="1645"/>
      <c r="AO40" s="1645"/>
      <c r="AP40" s="1645"/>
      <c r="AQ40" s="1645"/>
      <c r="AR40" s="1645"/>
      <c r="AS40" s="1645"/>
      <c r="AT40" s="1645"/>
      <c r="AU40" s="1645"/>
      <c r="AV40" s="1645"/>
      <c r="AW40" s="1645"/>
      <c r="AX40" s="1645"/>
      <c r="AY40" s="1645"/>
      <c r="AZ40" s="1645"/>
      <c r="BA40" s="1645"/>
      <c r="BB40" s="1645"/>
      <c r="BC40" s="1645"/>
      <c r="BD40" s="1645"/>
      <c r="BE40" s="1645"/>
      <c r="BF40" s="1645"/>
      <c r="BG40" s="1645"/>
      <c r="BH40" s="1645"/>
      <c r="BI40" s="1645"/>
      <c r="BJ40" s="1645"/>
      <c r="BK40" s="1645"/>
      <c r="BL40" s="1645"/>
      <c r="BM40" s="1645"/>
      <c r="BN40" s="1645"/>
      <c r="BO40" s="1645"/>
      <c r="BP40" s="1645"/>
      <c r="BQ40" s="1645"/>
      <c r="BR40" s="1645"/>
      <c r="BS40" s="1645"/>
      <c r="BT40" s="1645"/>
      <c r="BU40" s="1645"/>
      <c r="BV40" s="1645"/>
      <c r="BW40" s="1645"/>
      <c r="BX40" s="1645"/>
      <c r="BY40" s="1645"/>
      <c r="BZ40" s="1645"/>
      <c r="CA40" s="1645"/>
      <c r="CB40" s="1645"/>
      <c r="CC40" s="1645"/>
      <c r="CD40" s="1645"/>
      <c r="CE40" s="1645"/>
      <c r="CF40" s="1325"/>
    </row>
    <row customHeight="1" ht="15" hidden="1">
      <c r="A41" s="632" t="s">
        <v>136</v>
      </c>
      <c r="B41" s="633"/>
      <c r="C41" s="633" t="s">
        <v>22</v>
      </c>
      <c r="D41" s="2606" t="s">
        <v>637</v>
      </c>
      <c r="E41" s="2405" t="s">
        <v>114</v>
      </c>
      <c r="F41" s="2406"/>
      <c r="G41" s="2407"/>
      <c r="H41" s="2411" t="str">
        <f>IF(A41="","",INDEX(DIFFERENTIATION_UNMERGE_VD,MATCH(A41,DIFFERENTIATION_ID_DIFF,0)))</f>
        <v>Подключение (технологическое присоединение) к системе теплоснабжения</v>
      </c>
      <c r="I41" s="2411"/>
      <c r="J41" s="2411"/>
      <c r="K41" s="2411"/>
      <c r="L41" s="2411"/>
      <c r="M41" s="2411"/>
      <c r="N41" s="2411"/>
      <c r="O41" s="2411"/>
      <c r="P41" s="2411"/>
      <c r="Q41" s="2411"/>
      <c r="R41" s="2411"/>
      <c r="S41" s="728"/>
      <c r="T41" s="725"/>
      <c r="U41" s="634"/>
      <c r="V41" s="634"/>
      <c r="W41" s="635"/>
      <c r="X41" s="635"/>
      <c r="Y41" s="635"/>
      <c r="Z41" s="635"/>
      <c r="AA41" s="636"/>
      <c r="AB41" s="637"/>
      <c r="AC41" s="2403"/>
      <c r="AD41" s="638"/>
      <c r="AE41" s="639" t="s">
        <v>22</v>
      </c>
      <c r="AF41" s="639"/>
      <c r="AG41" s="640" t="s">
        <v>629</v>
      </c>
      <c r="AH41" s="641">
        <v>3</v>
      </c>
      <c r="AI41" s="634"/>
      <c r="AJ41" s="634"/>
      <c r="AK41" s="634"/>
      <c r="AL41" s="634"/>
      <c r="AM41" s="634"/>
      <c r="AN41" s="634"/>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c r="BU41" s="634"/>
      <c r="BV41" s="635"/>
      <c r="BW41" s="635"/>
      <c r="BX41" s="635"/>
      <c r="BY41" s="635"/>
      <c r="BZ41" s="635"/>
      <c r="CA41" s="635"/>
      <c r="CB41" s="635"/>
      <c r="CC41" s="635"/>
      <c r="CD41" s="635"/>
      <c r="CE41" s="635"/>
      <c r="CF41" s="1856"/>
    </row>
    <row customHeight="1" ht="15" hidden="1">
      <c r="A42" s="632"/>
      <c r="B42" s="633"/>
      <c r="C42" s="633"/>
      <c r="D42" s="2607"/>
      <c r="E42" s="2405" t="s">
        <v>577</v>
      </c>
      <c r="F42" s="2406"/>
      <c r="G42" s="2407"/>
      <c r="H42" s="2411" t="str">
        <f>IF(A41="","",INDEX(DIFFERENTIATION_UNMERGE_AREA,MATCH(A41,DIFFERENTIATION_ID_DIFF,0)))</f>
        <v>без дифференциации</v>
      </c>
      <c r="I42" s="2411"/>
      <c r="J42" s="2411"/>
      <c r="K42" s="2411"/>
      <c r="L42" s="2411"/>
      <c r="M42" s="2411"/>
      <c r="N42" s="2411"/>
      <c r="O42" s="2411"/>
      <c r="P42" s="2411"/>
      <c r="Q42" s="2411"/>
      <c r="R42" s="2411"/>
      <c r="S42" s="728"/>
      <c r="T42" s="725"/>
      <c r="U42" s="634"/>
      <c r="V42" s="634"/>
      <c r="W42" s="635"/>
      <c r="X42" s="635"/>
      <c r="Y42" s="635"/>
      <c r="Z42" s="635"/>
      <c r="AA42" s="636"/>
      <c r="AB42" s="637"/>
      <c r="AC42" s="2403"/>
      <c r="AD42" s="638"/>
      <c r="AE42" s="639"/>
      <c r="AF42" s="639"/>
      <c r="AG42" s="640"/>
      <c r="AH42" s="641"/>
      <c r="AI42" s="634"/>
      <c r="AJ42" s="634"/>
      <c r="AK42" s="634"/>
      <c r="AL42" s="634"/>
      <c r="AM42" s="634"/>
      <c r="AN42" s="634"/>
      <c r="AO42" s="634"/>
      <c r="AP42" s="634"/>
      <c r="AQ42" s="634"/>
      <c r="AR42" s="634"/>
      <c r="AS42" s="634"/>
      <c r="AT42" s="634"/>
      <c r="AU42" s="634"/>
      <c r="AV42" s="634"/>
      <c r="AW42" s="634"/>
      <c r="AX42" s="634"/>
      <c r="AY42" s="634"/>
      <c r="AZ42" s="634"/>
      <c r="BA42" s="634"/>
      <c r="BB42" s="634"/>
      <c r="BC42" s="634"/>
      <c r="BD42" s="634"/>
      <c r="BE42" s="634"/>
      <c r="BF42" s="634"/>
      <c r="BG42" s="634"/>
      <c r="BH42" s="634"/>
      <c r="BI42" s="634"/>
      <c r="BJ42" s="634"/>
      <c r="BK42" s="634"/>
      <c r="BL42" s="634"/>
      <c r="BM42" s="634"/>
      <c r="BN42" s="634"/>
      <c r="BO42" s="634"/>
      <c r="BP42" s="634"/>
      <c r="BQ42" s="634"/>
      <c r="BR42" s="634"/>
      <c r="BS42" s="634"/>
      <c r="BT42" s="634"/>
      <c r="BU42" s="634"/>
      <c r="BV42" s="635"/>
      <c r="BW42" s="635"/>
      <c r="BX42" s="635"/>
      <c r="BY42" s="635"/>
      <c r="BZ42" s="635"/>
      <c r="CA42" s="635"/>
      <c r="CB42" s="635"/>
      <c r="CC42" s="635"/>
      <c r="CD42" s="635"/>
      <c r="CE42" s="635"/>
      <c r="CF42" s="1856"/>
    </row>
    <row customHeight="1" ht="15" hidden="1">
      <c r="A43" s="632"/>
      <c r="B43" s="633"/>
      <c r="C43" s="633"/>
      <c r="D43" s="2607"/>
      <c r="E43" s="2405" t="s">
        <v>578</v>
      </c>
      <c r="F43" s="2406"/>
      <c r="G43" s="2407"/>
      <c r="H43" s="2411" t="str">
        <f>IF(A41="","",INDEX(DIFFERENTIATION_UNMERGE_SYSTEM,MATCH(A41,DIFFERENTIATION_ID_DIFF,0)))</f>
        <v>без дифференциации</v>
      </c>
      <c r="I43" s="2411"/>
      <c r="J43" s="2411"/>
      <c r="K43" s="2411"/>
      <c r="L43" s="2411"/>
      <c r="M43" s="2411"/>
      <c r="N43" s="2411"/>
      <c r="O43" s="2411"/>
      <c r="P43" s="2411"/>
      <c r="Q43" s="2411"/>
      <c r="R43" s="2411"/>
      <c r="S43" s="728"/>
      <c r="T43" s="725"/>
      <c r="U43" s="634"/>
      <c r="V43" s="634"/>
      <c r="W43" s="635"/>
      <c r="X43" s="635"/>
      <c r="Y43" s="635"/>
      <c r="Z43" s="635"/>
      <c r="AA43" s="636"/>
      <c r="AB43" s="637"/>
      <c r="AC43" s="2403"/>
      <c r="AD43" s="638"/>
      <c r="AE43" s="639"/>
      <c r="AF43" s="639"/>
      <c r="AG43" s="640"/>
      <c r="AH43" s="641"/>
      <c r="AI43" s="634"/>
      <c r="AJ43" s="634"/>
      <c r="AK43" s="634"/>
      <c r="AL43" s="634"/>
      <c r="AM43" s="634"/>
      <c r="AN43" s="634"/>
      <c r="AO43" s="634"/>
      <c r="AP43" s="634"/>
      <c r="AQ43" s="634"/>
      <c r="AR43" s="634"/>
      <c r="AS43" s="634"/>
      <c r="AT43" s="634"/>
      <c r="AU43" s="634"/>
      <c r="AV43" s="634"/>
      <c r="AW43" s="634"/>
      <c r="AX43" s="634"/>
      <c r="AY43" s="634"/>
      <c r="AZ43" s="634"/>
      <c r="BA43" s="634"/>
      <c r="BB43" s="634"/>
      <c r="BC43" s="634"/>
      <c r="BD43" s="634"/>
      <c r="BE43" s="634"/>
      <c r="BF43" s="634"/>
      <c r="BG43" s="634"/>
      <c r="BH43" s="634"/>
      <c r="BI43" s="634"/>
      <c r="BJ43" s="634"/>
      <c r="BK43" s="634"/>
      <c r="BL43" s="634"/>
      <c r="BM43" s="634"/>
      <c r="BN43" s="634"/>
      <c r="BO43" s="634"/>
      <c r="BP43" s="634"/>
      <c r="BQ43" s="634"/>
      <c r="BR43" s="634"/>
      <c r="BS43" s="634"/>
      <c r="BT43" s="634"/>
      <c r="BU43" s="634"/>
      <c r="BV43" s="635"/>
      <c r="BW43" s="635"/>
      <c r="BX43" s="635"/>
      <c r="BY43" s="635"/>
      <c r="BZ43" s="635"/>
      <c r="CA43" s="635"/>
      <c r="CB43" s="635"/>
      <c r="CC43" s="635"/>
      <c r="CD43" s="635"/>
      <c r="CE43" s="635"/>
      <c r="CF43" s="1856"/>
    </row>
    <row customHeight="1" ht="24.75" hidden="1">
      <c r="A44" s="1814"/>
      <c r="B44" s="1169"/>
      <c r="C44" s="421"/>
      <c r="D44" s="2607"/>
      <c r="E44" s="2404" t="s">
        <v>630</v>
      </c>
      <c r="F44" s="2404"/>
      <c r="G44" s="2404"/>
      <c r="H44" s="2404"/>
      <c r="I44" s="2404"/>
      <c r="J44" s="2404"/>
      <c r="K44" s="2404"/>
      <c r="L44" s="2404"/>
      <c r="M44" s="2404"/>
      <c r="N44" s="2404"/>
      <c r="O44" s="2404"/>
      <c r="P44" s="2404"/>
      <c r="Q44" s="567">
        <f>SUMIF(T45:T46,"i",Q45:Q46)</f>
        <v>0</v>
      </c>
      <c r="R44" s="1026"/>
      <c r="S44" s="1806" t="s">
        <v>631</v>
      </c>
      <c r="T44" s="726" t="s">
        <v>632</v>
      </c>
      <c r="U44" s="2402">
        <v>1</v>
      </c>
      <c r="V44" s="2402" t="str">
        <f>INDEX(B_FHD_FLAG_INDEX_1,1,MATCH(A41,B_FHD_FLAG_DIFFERENTIATION,0))</f>
        <v>отсутствует</v>
      </c>
      <c r="W44" s="1169"/>
      <c r="X44" s="1169"/>
      <c r="Y44" s="1169"/>
      <c r="Z44" s="1169"/>
      <c r="AA44" s="1645"/>
      <c r="AB44" s="1169"/>
      <c r="AC44" s="2403"/>
      <c r="AD44" s="638"/>
      <c r="AE44" s="1169"/>
      <c r="AF44" s="1169"/>
      <c r="AG44" s="1645"/>
      <c r="AH44" s="1645"/>
      <c r="AI44" s="1645"/>
      <c r="AJ44" s="1645"/>
      <c r="AK44" s="1645"/>
      <c r="AL44" s="1645"/>
      <c r="AM44" s="1645"/>
      <c r="AN44" s="1645"/>
      <c r="AO44" s="1645"/>
      <c r="AP44" s="1645"/>
      <c r="AQ44" s="1645"/>
      <c r="AR44" s="1645"/>
      <c r="AS44" s="1645"/>
      <c r="AT44" s="1645"/>
      <c r="AU44" s="1645"/>
      <c r="AV44" s="1645"/>
      <c r="AW44" s="1645"/>
      <c r="AX44" s="1645"/>
      <c r="AY44" s="1645"/>
      <c r="AZ44" s="1645"/>
      <c r="BA44" s="1645"/>
      <c r="BB44" s="1645"/>
      <c r="BC44" s="1645"/>
      <c r="BD44" s="1645"/>
      <c r="BE44" s="1645"/>
      <c r="BF44" s="1645"/>
      <c r="BG44" s="1645"/>
      <c r="BH44" s="1645"/>
      <c r="BI44" s="1645"/>
      <c r="BJ44" s="1645"/>
      <c r="BK44" s="1645"/>
      <c r="BL44" s="1645"/>
      <c r="BM44" s="1645"/>
      <c r="BN44" s="1645"/>
      <c r="BO44" s="1645"/>
      <c r="BP44" s="1645"/>
      <c r="BQ44" s="1645"/>
      <c r="BR44" s="1645"/>
      <c r="BS44" s="1645"/>
      <c r="BT44" s="1645"/>
      <c r="BU44" s="1645"/>
      <c r="BV44" s="1169"/>
      <c r="BW44" s="1169"/>
      <c r="BX44" s="1169"/>
      <c r="BY44" s="1169"/>
      <c r="BZ44" s="1169"/>
      <c r="CA44" s="1169"/>
      <c r="CB44" s="1169"/>
      <c r="CC44" s="1169"/>
      <c r="CD44" s="1169"/>
      <c r="CE44" s="1169"/>
      <c r="CF44" s="1856"/>
    </row>
    <row customHeight="1" ht="11.25" hidden="1">
      <c r="A45" s="1801"/>
      <c r="B45" s="1645"/>
      <c r="C45" s="1645"/>
      <c r="D45" s="2607"/>
      <c r="E45" s="644"/>
      <c r="F45" s="644">
        <v>0</v>
      </c>
      <c r="G45" s="644"/>
      <c r="H45" s="644"/>
      <c r="I45" s="644"/>
      <c r="J45" s="644"/>
      <c r="K45" s="644"/>
      <c r="L45" s="644"/>
      <c r="M45" s="644"/>
      <c r="N45" s="644"/>
      <c r="O45" s="644"/>
      <c r="P45" s="644"/>
      <c r="Q45" s="644"/>
      <c r="R45" s="644"/>
      <c r="S45" s="645"/>
      <c r="T45" s="727"/>
      <c r="U45" s="2402"/>
      <c r="V45" s="2402"/>
      <c r="W45" s="1645"/>
      <c r="X45" s="1645"/>
      <c r="Y45" s="1645"/>
      <c r="Z45" s="1645"/>
      <c r="AA45" s="1645"/>
      <c r="AB45" s="1169"/>
      <c r="AC45" s="2403"/>
      <c r="AD45" s="638"/>
      <c r="AE45" s="1169"/>
      <c r="AF45" s="1169"/>
      <c r="AG45" s="1645"/>
      <c r="AH45" s="1645"/>
      <c r="AI45" s="1645"/>
      <c r="AJ45" s="1645"/>
      <c r="AK45" s="1645"/>
      <c r="AL45" s="1645"/>
      <c r="AM45" s="1645"/>
      <c r="AN45" s="1645"/>
      <c r="AO45" s="1645"/>
      <c r="AP45" s="1645"/>
      <c r="AQ45" s="1645"/>
      <c r="AR45" s="1645"/>
      <c r="AS45" s="1645"/>
      <c r="AT45" s="1645"/>
      <c r="AU45" s="1645"/>
      <c r="AV45" s="1645"/>
      <c r="AW45" s="1645"/>
      <c r="AX45" s="1645"/>
      <c r="AY45" s="1645"/>
      <c r="AZ45" s="1645"/>
      <c r="BA45" s="1645"/>
      <c r="BB45" s="1645"/>
      <c r="BC45" s="1645"/>
      <c r="BD45" s="1645"/>
      <c r="BE45" s="1645"/>
      <c r="BF45" s="1645"/>
      <c r="BG45" s="1645"/>
      <c r="BH45" s="1645"/>
      <c r="BI45" s="1645"/>
      <c r="BJ45" s="1645"/>
      <c r="BK45" s="1645"/>
      <c r="BL45" s="1645"/>
      <c r="BM45" s="1645"/>
      <c r="BN45" s="1645"/>
      <c r="BO45" s="1645"/>
      <c r="BP45" s="1645"/>
      <c r="BQ45" s="1645"/>
      <c r="BR45" s="1645"/>
      <c r="BS45" s="1645"/>
      <c r="BT45" s="1645"/>
      <c r="BU45" s="1645"/>
      <c r="BV45" s="1645"/>
      <c r="BW45" s="1645"/>
      <c r="BX45" s="1645"/>
      <c r="BY45" s="1645"/>
      <c r="BZ45" s="1645"/>
      <c r="CA45" s="1645"/>
      <c r="CB45" s="1645"/>
      <c r="CC45" s="1645"/>
      <c r="CD45" s="1645"/>
      <c r="CE45" s="1645"/>
      <c r="CF45" s="1856"/>
    </row>
    <row customHeight="1" ht="11.25" hidden="1">
      <c r="A46" s="1814"/>
      <c r="B46" s="1169"/>
      <c r="C46" s="421"/>
      <c r="D46" s="2607"/>
      <c r="E46" s="658" t="s">
        <v>22</v>
      </c>
      <c r="F46" s="1177" t="s">
        <v>22</v>
      </c>
      <c r="G46" s="1177" t="s">
        <v>635</v>
      </c>
      <c r="H46" s="660" t="s">
        <v>22</v>
      </c>
      <c r="I46" s="660"/>
      <c r="J46" s="660"/>
      <c r="K46" s="660"/>
      <c r="L46" s="660"/>
      <c r="M46" s="660"/>
      <c r="N46" s="660"/>
      <c r="O46" s="660"/>
      <c r="P46" s="660"/>
      <c r="Q46" s="660"/>
      <c r="R46" s="661"/>
      <c r="S46" s="662"/>
      <c r="T46" s="727"/>
      <c r="U46" s="2402"/>
      <c r="V46" s="2402"/>
      <c r="W46" s="1169"/>
      <c r="X46" s="1169"/>
      <c r="Y46" s="1169"/>
      <c r="Z46" s="1169"/>
      <c r="AA46" s="1645"/>
      <c r="AB46" s="1169"/>
      <c r="AC46" s="2403"/>
      <c r="AD46" s="638"/>
      <c r="AE46" s="1169"/>
      <c r="AF46" s="1169"/>
      <c r="AG46" s="1645"/>
      <c r="AH46" s="1645"/>
      <c r="AI46" s="1645"/>
      <c r="AJ46" s="1645"/>
      <c r="AK46" s="1645"/>
      <c r="AL46" s="1645"/>
      <c r="AM46" s="1645"/>
      <c r="AN46" s="1645"/>
      <c r="AO46" s="1645"/>
      <c r="AP46" s="1645"/>
      <c r="AQ46" s="1645"/>
      <c r="AR46" s="1645"/>
      <c r="AS46" s="1645"/>
      <c r="AT46" s="1645"/>
      <c r="AU46" s="1645"/>
      <c r="AV46" s="1645"/>
      <c r="AW46" s="1645"/>
      <c r="AX46" s="1645"/>
      <c r="AY46" s="1645"/>
      <c r="AZ46" s="1645"/>
      <c r="BA46" s="1645"/>
      <c r="BB46" s="1645"/>
      <c r="BC46" s="1645"/>
      <c r="BD46" s="1645"/>
      <c r="BE46" s="1645"/>
      <c r="BF46" s="1645"/>
      <c r="BG46" s="1645"/>
      <c r="BH46" s="1645"/>
      <c r="BI46" s="1645"/>
      <c r="BJ46" s="1645"/>
      <c r="BK46" s="1645"/>
      <c r="BL46" s="1645"/>
      <c r="BM46" s="1645"/>
      <c r="BN46" s="1645"/>
      <c r="BO46" s="1645"/>
      <c r="BP46" s="1645"/>
      <c r="BQ46" s="1645"/>
      <c r="BR46" s="1645"/>
      <c r="BS46" s="1645"/>
      <c r="BT46" s="1645"/>
      <c r="BU46" s="1645"/>
      <c r="BV46" s="1169"/>
      <c r="BW46" s="1169"/>
      <c r="BX46" s="1169"/>
      <c r="BY46" s="1169"/>
      <c r="BZ46" s="1169"/>
      <c r="CA46" s="1169"/>
      <c r="CB46" s="1169"/>
      <c r="CC46" s="1169"/>
      <c r="CD46" s="1169"/>
      <c r="CE46" s="1169"/>
      <c r="CF46" s="1856"/>
    </row>
    <row customHeight="1" ht="5.25" hidden="1">
      <c r="A47" s="1801"/>
      <c r="B47" s="1645"/>
      <c r="C47" s="1645"/>
      <c r="D47" s="2607"/>
      <c r="E47" s="1048"/>
      <c r="F47" s="1048"/>
      <c r="G47" s="1048"/>
      <c r="H47" s="1048"/>
      <c r="I47" s="1048"/>
      <c r="J47" s="1048"/>
      <c r="K47" s="1048"/>
      <c r="L47" s="1048"/>
      <c r="M47" s="1048"/>
      <c r="N47" s="1048"/>
      <c r="O47" s="1048"/>
      <c r="P47" s="1048"/>
      <c r="Q47" s="1049"/>
      <c r="R47" s="1050"/>
      <c r="S47" s="1051"/>
      <c r="T47" s="726" t="s">
        <v>632</v>
      </c>
      <c r="U47" s="2402">
        <v>1</v>
      </c>
      <c r="V47" s="2402" t="s">
        <v>594</v>
      </c>
      <c r="W47" s="1645"/>
      <c r="X47" s="1645"/>
      <c r="Y47" s="1645"/>
      <c r="Z47" s="1645"/>
      <c r="AA47" s="1645"/>
      <c r="AB47" s="1645"/>
      <c r="AC47" s="1046"/>
      <c r="AD47" s="1047"/>
      <c r="AE47" s="1645"/>
      <c r="AF47" s="1645"/>
      <c r="AG47" s="1645"/>
      <c r="AH47" s="1645"/>
      <c r="AI47" s="1645"/>
      <c r="AJ47" s="1645"/>
      <c r="AK47" s="1645"/>
      <c r="AL47" s="1645"/>
      <c r="AM47" s="1645"/>
      <c r="AN47" s="1645"/>
      <c r="AO47" s="1645"/>
      <c r="AP47" s="1645"/>
      <c r="AQ47" s="1645"/>
      <c r="AR47" s="1645"/>
      <c r="AS47" s="1645"/>
      <c r="AT47" s="1645"/>
      <c r="AU47" s="1645"/>
      <c r="AV47" s="1645"/>
      <c r="AW47" s="1645"/>
      <c r="AX47" s="1645"/>
      <c r="AY47" s="1645"/>
      <c r="AZ47" s="1645"/>
      <c r="BA47" s="1645"/>
      <c r="BB47" s="1645"/>
      <c r="BC47" s="1645"/>
      <c r="BD47" s="1645"/>
      <c r="BE47" s="1645"/>
      <c r="BF47" s="1645"/>
      <c r="BG47" s="1645"/>
      <c r="BH47" s="1645"/>
      <c r="BI47" s="1645"/>
      <c r="BJ47" s="1645"/>
      <c r="BK47" s="1645"/>
      <c r="BL47" s="1645"/>
      <c r="BM47" s="1645"/>
      <c r="BN47" s="1645"/>
      <c r="BO47" s="1645"/>
      <c r="BP47" s="1645"/>
      <c r="BQ47" s="1645"/>
      <c r="BR47" s="1645"/>
      <c r="BS47" s="1645"/>
      <c r="BT47" s="1645"/>
      <c r="BU47" s="1645"/>
      <c r="BV47" s="1645"/>
      <c r="BW47" s="1645"/>
      <c r="BX47" s="1645"/>
      <c r="BY47" s="1645"/>
      <c r="BZ47" s="1645"/>
      <c r="CA47" s="1645"/>
      <c r="CB47" s="1645"/>
      <c r="CC47" s="1645"/>
      <c r="CD47" s="1645"/>
      <c r="CE47" s="1645"/>
      <c r="CF47" s="1325"/>
    </row>
    <row customHeight="1" ht="5.25" hidden="1">
      <c r="A48" s="1801"/>
      <c r="B48" s="1645"/>
      <c r="C48" s="1645"/>
      <c r="D48" s="2607"/>
      <c r="E48" s="644"/>
      <c r="F48" s="644"/>
      <c r="G48" s="644"/>
      <c r="H48" s="644"/>
      <c r="I48" s="644"/>
      <c r="J48" s="644"/>
      <c r="K48" s="644"/>
      <c r="L48" s="644"/>
      <c r="M48" s="644"/>
      <c r="N48" s="644"/>
      <c r="O48" s="644"/>
      <c r="P48" s="644"/>
      <c r="Q48" s="644"/>
      <c r="R48" s="644"/>
      <c r="S48" s="645"/>
      <c r="T48" s="727"/>
      <c r="U48" s="2402"/>
      <c r="V48" s="2402"/>
      <c r="W48" s="1645"/>
      <c r="X48" s="1645"/>
      <c r="Y48" s="1645"/>
      <c r="Z48" s="1645"/>
      <c r="AA48" s="1645"/>
      <c r="AB48" s="1645"/>
      <c r="AC48" s="1046"/>
      <c r="AD48" s="1047"/>
      <c r="AE48" s="1645"/>
      <c r="AF48" s="1645"/>
      <c r="AG48" s="1645"/>
      <c r="AH48" s="1645"/>
      <c r="AI48" s="1645"/>
      <c r="AJ48" s="1645"/>
      <c r="AK48" s="1645"/>
      <c r="AL48" s="1645"/>
      <c r="AM48" s="1645"/>
      <c r="AN48" s="1645"/>
      <c r="AO48" s="1645"/>
      <c r="AP48" s="1645"/>
      <c r="AQ48" s="1645"/>
      <c r="AR48" s="1645"/>
      <c r="AS48" s="1645"/>
      <c r="AT48" s="1645"/>
      <c r="AU48" s="1645"/>
      <c r="AV48" s="1645"/>
      <c r="AW48" s="1645"/>
      <c r="AX48" s="1645"/>
      <c r="AY48" s="1645"/>
      <c r="AZ48" s="1645"/>
      <c r="BA48" s="1645"/>
      <c r="BB48" s="1645"/>
      <c r="BC48" s="1645"/>
      <c r="BD48" s="1645"/>
      <c r="BE48" s="1645"/>
      <c r="BF48" s="1645"/>
      <c r="BG48" s="1645"/>
      <c r="BH48" s="1645"/>
      <c r="BI48" s="1645"/>
      <c r="BJ48" s="1645"/>
      <c r="BK48" s="1645"/>
      <c r="BL48" s="1645"/>
      <c r="BM48" s="1645"/>
      <c r="BN48" s="1645"/>
      <c r="BO48" s="1645"/>
      <c r="BP48" s="1645"/>
      <c r="BQ48" s="1645"/>
      <c r="BR48" s="1645"/>
      <c r="BS48" s="1645"/>
      <c r="BT48" s="1645"/>
      <c r="BU48" s="1645"/>
      <c r="BV48" s="1645"/>
      <c r="BW48" s="1645"/>
      <c r="BX48" s="1645"/>
      <c r="BY48" s="1645"/>
      <c r="BZ48" s="1645"/>
      <c r="CA48" s="1645"/>
      <c r="CB48" s="1645"/>
      <c r="CC48" s="1645"/>
      <c r="CD48" s="1645"/>
      <c r="CE48" s="1645"/>
      <c r="CF48" s="1325"/>
    </row>
    <row customHeight="1" ht="5.25" hidden="1">
      <c r="A49" s="1801"/>
      <c r="B49" s="1645"/>
      <c r="C49" s="1645"/>
      <c r="D49" s="2608"/>
      <c r="E49" s="1052"/>
      <c r="F49" s="1053"/>
      <c r="G49" s="1053"/>
      <c r="H49" s="1054"/>
      <c r="I49" s="1054"/>
      <c r="J49" s="1054"/>
      <c r="K49" s="1054"/>
      <c r="L49" s="1054"/>
      <c r="M49" s="1054"/>
      <c r="N49" s="1054"/>
      <c r="O49" s="1054"/>
      <c r="P49" s="1054"/>
      <c r="Q49" s="1054"/>
      <c r="R49" s="955"/>
      <c r="S49" s="1055"/>
      <c r="T49" s="727"/>
      <c r="U49" s="2402"/>
      <c r="V49" s="2402"/>
      <c r="W49" s="1645"/>
      <c r="X49" s="1645"/>
      <c r="Y49" s="1645"/>
      <c r="Z49" s="1645"/>
      <c r="AA49" s="1645"/>
      <c r="AB49" s="1645"/>
      <c r="AC49" s="1046"/>
      <c r="AD49" s="1047"/>
      <c r="AE49" s="1645"/>
      <c r="AF49" s="1645"/>
      <c r="AG49" s="1645"/>
      <c r="AH49" s="1645"/>
      <c r="AI49" s="1645"/>
      <c r="AJ49" s="1645"/>
      <c r="AK49" s="1645"/>
      <c r="AL49" s="1645"/>
      <c r="AM49" s="1645"/>
      <c r="AN49" s="1645"/>
      <c r="AO49" s="1645"/>
      <c r="AP49" s="1645"/>
      <c r="AQ49" s="1645"/>
      <c r="AR49" s="1645"/>
      <c r="AS49" s="1645"/>
      <c r="AT49" s="1645"/>
      <c r="AU49" s="1645"/>
      <c r="AV49" s="1645"/>
      <c r="AW49" s="1645"/>
      <c r="AX49" s="1645"/>
      <c r="AY49" s="1645"/>
      <c r="AZ49" s="1645"/>
      <c r="BA49" s="1645"/>
      <c r="BB49" s="1645"/>
      <c r="BC49" s="1645"/>
      <c r="BD49" s="1645"/>
      <c r="BE49" s="1645"/>
      <c r="BF49" s="1645"/>
      <c r="BG49" s="1645"/>
      <c r="BH49" s="1645"/>
      <c r="BI49" s="1645"/>
      <c r="BJ49" s="1645"/>
      <c r="BK49" s="1645"/>
      <c r="BL49" s="1645"/>
      <c r="BM49" s="1645"/>
      <c r="BN49" s="1645"/>
      <c r="BO49" s="1645"/>
      <c r="BP49" s="1645"/>
      <c r="BQ49" s="1645"/>
      <c r="BR49" s="1645"/>
      <c r="BS49" s="1645"/>
      <c r="BT49" s="1645"/>
      <c r="BU49" s="1645"/>
      <c r="BV49" s="1645"/>
      <c r="BW49" s="1645"/>
      <c r="BX49" s="1645"/>
      <c r="BY49" s="1645"/>
      <c r="BZ49" s="1645"/>
      <c r="CA49" s="1645"/>
      <c r="CB49" s="1645"/>
      <c r="CC49" s="1645"/>
      <c r="CD49" s="1645"/>
      <c r="CE49" s="1645"/>
      <c r="CF49" s="1325"/>
    </row>
    <row customHeight="1" ht="19.95">
      <c r="D50" s="1056"/>
      <c r="E50" s="1056"/>
      <c r="F50" s="1056"/>
      <c r="G50" s="1056"/>
      <c r="H50" s="1056"/>
      <c r="I50" s="1056"/>
      <c r="J50" s="1056"/>
      <c r="K50" s="1056"/>
      <c r="L50" s="1056"/>
      <c r="M50" s="1056"/>
      <c r="N50" s="1056"/>
      <c r="O50" s="1056"/>
      <c r="P50" s="1056"/>
      <c r="Q50" s="1056"/>
      <c r="R50" s="1056"/>
      <c r="S50" s="1056"/>
      <c r="T50" s="343"/>
      <c r="CF50" s="514">
        <v>19</v>
      </c>
    </row>
    <row customHeight="1" ht="11.549999999999999">
      <c r="D51" s="518"/>
      <c r="CF51" s="514">
        <v>11</v>
      </c>
    </row>
    <row customHeight="1" ht="11.549999999999999">
      <c r="D52" s="663"/>
      <c r="E52" s="663"/>
      <c r="F52" s="663"/>
      <c r="G52" s="664"/>
      <c r="CF52" s="514">
        <v>11</v>
      </c>
    </row>
    <row customHeight="1" ht="11.549999999999999">
      <c r="CF53" s="514">
        <v>11</v>
      </c>
    </row>
    <row customHeight="1" ht="11.549999999999999">
      <c r="D54" s="665"/>
      <c r="E54" s="2412"/>
      <c r="F54" s="2412"/>
      <c r="G54" s="2412"/>
      <c r="H54" s="2412"/>
      <c r="I54" s="2412"/>
      <c r="J54" s="2412"/>
      <c r="K54" s="2412"/>
      <c r="L54" s="2412"/>
      <c r="M54" s="2412"/>
      <c r="N54" s="2412"/>
      <c r="O54" s="2412"/>
      <c r="P54" s="2412"/>
      <c r="Q54" s="2412"/>
      <c r="R54" s="2412"/>
      <c r="CF54" s="514">
        <v>11</v>
      </c>
    </row>
    <row customHeight="1" ht="11.549999999999999">
      <c r="F55" s="767"/>
      <c r="G55" s="767"/>
      <c r="CF55" s="514">
        <v>11</v>
      </c>
    </row>
    <row customHeight="1" ht="11.25" hidden="1">
      <c r="A56" s="619" t="s">
        <v>83</v>
      </c>
      <c r="B56" s="458">
        <v>0</v>
      </c>
      <c r="C56" s="514">
        <v>3</v>
      </c>
      <c r="D56" s="514">
        <v>0</v>
      </c>
      <c r="E56" s="514">
        <v>7</v>
      </c>
      <c r="F56" s="514">
        <v>7</v>
      </c>
      <c r="G56" s="514">
        <v>29</v>
      </c>
      <c r="H56" s="514">
        <v>3</v>
      </c>
      <c r="I56" s="514">
        <v>5</v>
      </c>
      <c r="J56" s="514">
        <v>24</v>
      </c>
      <c r="K56" s="514">
        <v>24</v>
      </c>
      <c r="L56" s="514">
        <v>3</v>
      </c>
      <c r="M56" s="514">
        <v>6</v>
      </c>
      <c r="N56" s="514">
        <v>25</v>
      </c>
      <c r="O56" s="514">
        <v>18</v>
      </c>
      <c r="P56" s="514">
        <v>18</v>
      </c>
      <c r="Q56" s="514">
        <v>18</v>
      </c>
      <c r="R56" s="514">
        <v>18</v>
      </c>
      <c r="S56" s="514">
        <v>93</v>
      </c>
      <c r="T56" s="514">
        <v>10</v>
      </c>
      <c r="U56" s="620">
        <v>10</v>
      </c>
      <c r="V56" s="620">
        <v>11</v>
      </c>
      <c r="W56" s="621">
        <v>10</v>
      </c>
      <c r="X56" s="458">
        <v>10</v>
      </c>
      <c r="Y56" s="458">
        <v>10</v>
      </c>
      <c r="Z56" s="458">
        <v>10</v>
      </c>
      <c r="AA56" s="458">
        <v>10</v>
      </c>
      <c r="AB56" s="514">
        <v>8</v>
      </c>
      <c r="AC56" s="514">
        <v>8</v>
      </c>
      <c r="AD56" s="514">
        <v>8</v>
      </c>
      <c r="AE56" s="514">
        <v>8</v>
      </c>
      <c r="AF56" s="514">
        <v>8</v>
      </c>
      <c r="AG56" s="514">
        <v>8</v>
      </c>
      <c r="AH56" s="514">
        <v>8</v>
      </c>
      <c r="AI56" s="514">
        <v>8</v>
      </c>
      <c r="AJ56" s="514">
        <v>8</v>
      </c>
      <c r="AK56" s="514">
        <v>8</v>
      </c>
      <c r="AL56" s="514">
        <v>8</v>
      </c>
      <c r="AM56" s="514">
        <v>8</v>
      </c>
      <c r="AN56" s="514">
        <v>8</v>
      </c>
      <c r="AO56" s="514">
        <v>8</v>
      </c>
      <c r="AP56" s="514">
        <v>8</v>
      </c>
      <c r="AQ56" s="514">
        <v>8</v>
      </c>
      <c r="AR56" s="514">
        <v>8</v>
      </c>
      <c r="AS56" s="514">
        <v>8</v>
      </c>
      <c r="AT56" s="514">
        <v>8</v>
      </c>
      <c r="AU56" s="514">
        <v>8</v>
      </c>
      <c r="AV56" s="514">
        <v>8</v>
      </c>
      <c r="AW56" s="514">
        <v>8</v>
      </c>
      <c r="AX56" s="514">
        <v>8</v>
      </c>
      <c r="AY56" s="514">
        <v>8</v>
      </c>
      <c r="AZ56" s="514">
        <v>8</v>
      </c>
      <c r="BA56" s="514">
        <v>8</v>
      </c>
      <c r="BB56" s="514">
        <v>8</v>
      </c>
      <c r="BC56" s="514">
        <v>8</v>
      </c>
      <c r="BD56" s="514">
        <v>8</v>
      </c>
      <c r="BE56" s="514">
        <v>8</v>
      </c>
      <c r="BF56" s="514">
        <v>8</v>
      </c>
      <c r="BG56" s="514">
        <v>8</v>
      </c>
      <c r="BH56" s="514">
        <v>8</v>
      </c>
      <c r="BI56" s="514">
        <v>8</v>
      </c>
      <c r="BJ56" s="514">
        <v>8</v>
      </c>
      <c r="BK56" s="514">
        <v>8</v>
      </c>
      <c r="BL56" s="514">
        <v>8</v>
      </c>
      <c r="BM56" s="514">
        <v>8</v>
      </c>
      <c r="BN56" s="514">
        <v>8</v>
      </c>
      <c r="BO56" s="514">
        <v>8</v>
      </c>
      <c r="BP56" s="514">
        <v>8</v>
      </c>
      <c r="BQ56" s="514">
        <v>8</v>
      </c>
      <c r="BR56" s="514">
        <v>8</v>
      </c>
      <c r="BS56" s="514">
        <v>8</v>
      </c>
      <c r="BT56" s="514">
        <v>8</v>
      </c>
      <c r="BU56" s="514">
        <v>8</v>
      </c>
      <c r="BV56" s="514">
        <v>8</v>
      </c>
      <c r="BW56" s="514">
        <v>8</v>
      </c>
      <c r="BX56" s="514">
        <v>8</v>
      </c>
      <c r="BY56" s="514">
        <v>8</v>
      </c>
      <c r="BZ56" s="514">
        <v>8</v>
      </c>
      <c r="CA56" s="514">
        <v>8</v>
      </c>
      <c r="CB56" s="514">
        <v>8</v>
      </c>
      <c r="CC56" s="514">
        <v>8</v>
      </c>
      <c r="CD56" s="514">
        <v>8</v>
      </c>
      <c r="CE56" s="514">
        <v>8</v>
      </c>
      <c r="CF56" s="514">
        <v>11</v>
      </c>
    </row>
  </sheetData>
  <sheetProtection sheet="1" formatColumns="0" formatRows="0" autoFilter="0" sort="1" insertRows="1" insertColumns="1" deleteRows="1" deleteColumns="1"/>
  <mergeCells count="61">
    <mergeCell ref="E5:K5"/>
    <mergeCell ref="E6:K6"/>
    <mergeCell ref="E9:R9"/>
    <mergeCell ref="S9:S10"/>
    <mergeCell ref="E10:F10"/>
    <mergeCell ref="H10:I10"/>
    <mergeCell ref="L10:M10"/>
    <mergeCell ref="D14:D22"/>
    <mergeCell ref="H14:R14"/>
    <mergeCell ref="H15:R15"/>
    <mergeCell ref="H16:R16"/>
    <mergeCell ref="E54:R5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035E74-883C-E49A-1AA4-0.54C44E95}" mc:Ignorable="x14ac xr xr2 xr3">
  <sheetPr>
    <tabColor theme="9" tint="-0.25"/>
  </sheetPr>
  <dimension ref="A1:AN204"/>
  <sheetViews>
    <sheetView showGridLines="0" zoomScale="90" workbookViewId="0">
      <pane xSplit="12" ySplit="14" topLeftCell="P15" activePane="bottomRight" state="frozen"/>
      <selection pane="bottomLeft" activeCell="A15" sqref="A15"/>
      <selection pane="topRight" activeCell="M1" sqref="M1"/>
      <selection pane="bottomRight" activeCell="P9" sqref="P9"/>
    </sheetView>
  </sheetViews>
  <sheetFormatPr defaultColWidth="9.140625" customHeight="1" defaultRowHeight="11.25"/>
  <cols>
    <col min="1" max="5" style="996" width="10.7109375" hidden="1" customWidth="1"/>
    <col min="6" max="6" style="1375" width="16.8515625" hidden="1" customWidth="1"/>
    <col min="7" max="7" style="1651" width="5.57421875" hidden="1" customWidth="1"/>
    <col min="8" max="8" style="1644" width="3.00390625" customWidth="1"/>
    <col min="9" max="9" style="1644" width="7.00390625" customWidth="1"/>
    <col min="10" max="10" style="1644" width="56.00390625" customWidth="1"/>
    <col min="11" max="11" style="1644" width="10.00390625" customWidth="1"/>
    <col min="12" max="12" style="1644" width="40.57421875" hidden="1" customWidth="1"/>
    <col min="13" max="13" style="1644" width="40.7109375" customWidth="1"/>
    <col min="14" max="16" style="1644" width="40.57421875" customWidth="1"/>
    <col min="17" max="17" style="1375" width="9.7109375" hidden="1" customWidth="1"/>
    <col min="18" max="18" style="1644" width="102.00390625" customWidth="1"/>
    <col min="19" max="19" style="1375" width="9.00390625" customWidth="1"/>
    <col min="20" max="20" style="1651" width="5.00390625" customWidth="1"/>
    <col min="21" max="21" style="1651" width="3.00390625" customWidth="1"/>
    <col min="22" max="25" style="1375" width="3.00390625" customWidth="1"/>
    <col min="26" max="26" style="1651" width="10.00390625" customWidth="1"/>
    <col min="27" max="27" style="1375" width="34.00390625" customWidth="1"/>
    <col min="28" max="28" style="1375" width="9.00390625" customWidth="1"/>
    <col min="29" max="29" style="745" width="8.00390625" customWidth="1"/>
    <col min="30" max="34" style="1375" width="8.00390625" customWidth="1"/>
    <col min="35" max="39" style="1641" width="8.00390625" customWidth="1"/>
    <col min="40" max="40" style="1644" width="5.421875" hidden="1" customWidth="1"/>
  </cols>
  <sheetData>
    <row s="1375" customFormat="1" customHeight="1" ht="33.75" hidden="1">
      <c r="A1" s="996"/>
      <c r="B1" s="996"/>
      <c r="C1" s="996"/>
      <c r="D1" s="996"/>
      <c r="E1" s="996"/>
      <c r="G1" s="1645"/>
      <c r="H1" s="887"/>
      <c r="L1" s="1375">
        <v>4</v>
      </c>
      <c r="M1" s="1375">
        <v>4</v>
      </c>
      <c r="N1" s="1375">
        <v>4</v>
      </c>
      <c r="O1" s="1375">
        <v>4</v>
      </c>
      <c r="P1" s="1375">
        <v>4</v>
      </c>
      <c r="T1" s="1645"/>
      <c r="U1" s="1645"/>
      <c r="Z1" s="1645"/>
      <c r="AN1" s="1375" t="s">
        <v>14</v>
      </c>
    </row>
    <row s="1375" customFormat="1" customHeight="1" ht="78.75" hidden="1">
      <c r="A2" s="996"/>
      <c r="B2" s="2059" t="s">
        <v>638</v>
      </c>
      <c r="C2" s="2059" t="s">
        <v>639</v>
      </c>
      <c r="D2" s="2058" t="s">
        <v>640</v>
      </c>
      <c r="E2" s="2062">
        <f>RIGHT(I2,LEN(I2)-SEARCH("#",SUBSTITUTE(I2,".","#",LEN(I2)-LEN(SUBSTITUTE(I2,".","")))))</f>
      </c>
      <c r="F2" s="2064">
        <f>J2</f>
        <v>0</v>
      </c>
      <c r="G2" s="1645"/>
      <c r="H2" s="2065"/>
      <c r="I2" s="2055"/>
      <c r="J2" s="549"/>
      <c r="K2" s="2025" t="s">
        <v>569</v>
      </c>
      <c r="L2" s="760"/>
      <c r="M2" s="760"/>
      <c r="N2" s="760"/>
      <c r="O2" s="760"/>
      <c r="P2" s="760"/>
      <c r="Q2" s="552"/>
      <c r="R2" s="1534" t="s">
        <v>570</v>
      </c>
      <c r="S2" s="552"/>
      <c r="T2" s="1645"/>
      <c r="U2" s="1645"/>
      <c r="Z2" s="1645"/>
      <c r="AC2" s="553"/>
      <c r="AI2" s="1641"/>
      <c r="AJ2" s="1641"/>
      <c r="AK2" s="1641"/>
      <c r="AL2" s="1641"/>
      <c r="AM2" s="1641"/>
      <c r="AN2" s="1375">
        <v>0</v>
      </c>
    </row>
    <row customHeight="1" ht="11.25" hidden="1">
      <c r="E3" s="2057" t="s">
        <v>641</v>
      </c>
      <c r="L3" s="1640">
        <f>0</f>
        <v>0</v>
      </c>
      <c r="M3" s="1640">
        <v>1</v>
      </c>
      <c r="N3" s="1644">
        <f>0</f>
        <v>0</v>
      </c>
      <c r="O3" s="1644">
        <f>0</f>
        <v>0</v>
      </c>
      <c r="P3" s="1644">
        <f>0</f>
        <v>0</v>
      </c>
      <c r="AN3" s="1640">
        <v>0</v>
      </c>
    </row>
    <row s="1641" customFormat="1" customHeight="1" ht="11.25" hidden="1">
      <c r="A4" s="996"/>
      <c r="B4" s="996"/>
      <c r="C4" s="996"/>
      <c r="E4" s="996"/>
      <c r="F4" s="1375"/>
      <c r="G4" s="1645"/>
      <c r="H4" s="629"/>
      <c r="N4" s="1641"/>
      <c r="O4" s="1641"/>
      <c r="P4" s="1641"/>
      <c r="Q4" s="1375"/>
      <c r="R4" s="1641">
        <v>4</v>
      </c>
      <c r="S4" s="1375"/>
      <c r="T4" s="1645"/>
      <c r="U4" s="1645"/>
      <c r="V4" s="1375"/>
      <c r="W4" s="1375"/>
      <c r="X4" s="1375"/>
      <c r="Y4" s="1375"/>
      <c r="Z4" s="1645"/>
      <c r="AA4" s="1375"/>
      <c r="AB4" s="1375"/>
      <c r="AC4" s="553"/>
      <c r="AD4" s="1375"/>
      <c r="AE4" s="1375"/>
      <c r="AF4" s="1375"/>
      <c r="AG4" s="1375"/>
      <c r="AH4" s="1375"/>
      <c r="AN4" s="1641">
        <v>0</v>
      </c>
    </row>
    <row customHeight="1" ht="11.549999999999999">
      <c r="N5" s="1644"/>
      <c r="O5" s="1644"/>
      <c r="P5" s="1644"/>
      <c r="AN5" s="1640">
        <v>11</v>
      </c>
    </row>
    <row customHeight="1" ht="57.75">
      <c r="I6" s="2335" t="s">
        <v>642</v>
      </c>
      <c r="J6" s="2335"/>
      <c r="K6" s="2335"/>
      <c r="L6" s="2335"/>
      <c r="M6" s="2335"/>
      <c r="N6" s="2335"/>
      <c r="O6" s="2335"/>
      <c r="P6" s="2335"/>
      <c r="R6" s="565"/>
      <c r="AN6" s="1640">
        <v>55</v>
      </c>
    </row>
    <row customHeight="1" ht="25.2">
      <c r="I7" s="2277" t="str">
        <f>IF(org=0,"Не определено",org)</f>
        <v>АО "ДГК"</v>
      </c>
      <c r="J7" s="2277"/>
      <c r="K7" s="2277"/>
      <c r="L7" s="2277"/>
      <c r="M7" s="2277"/>
      <c r="N7" s="2277"/>
      <c r="O7" s="2277"/>
      <c r="P7" s="2277"/>
      <c r="AN7" s="1640">
        <v>24</v>
      </c>
    </row>
    <row customHeight="1" ht="11.549999999999999">
      <c r="I8" s="1144"/>
      <c r="J8" s="1144"/>
      <c r="K8" s="1144"/>
      <c r="L8" s="1144"/>
      <c r="M8" s="1144"/>
      <c r="N8" s="1145" t="s">
        <v>22</v>
      </c>
      <c r="O8" s="1145" t="s">
        <v>22</v>
      </c>
      <c r="P8" s="1145" t="s">
        <v>22</v>
      </c>
      <c r="AN8" s="1640">
        <v>11</v>
      </c>
    </row>
    <row s="1651" customFormat="1" customHeight="1" ht="30" hidden="1">
      <c r="A9" s="1176"/>
      <c r="B9" s="1176"/>
      <c r="C9" s="1176"/>
      <c r="E9" s="1176"/>
      <c r="H9" s="1651"/>
      <c r="L9" s="898"/>
      <c r="M9" s="898" t="s">
        <v>126</v>
      </c>
      <c r="N9" s="898" t="s">
        <v>131</v>
      </c>
      <c r="O9" s="898" t="s">
        <v>134</v>
      </c>
      <c r="P9" s="898" t="s">
        <v>136</v>
      </c>
      <c r="AN9" s="1645">
        <v>1</v>
      </c>
    </row>
    <row customHeight="1" ht="11.549999999999999">
      <c r="E10" s="2056" t="s">
        <v>643</v>
      </c>
      <c r="I10" s="720"/>
      <c r="J10" s="2395" t="s">
        <v>114</v>
      </c>
      <c r="K10" s="2396"/>
      <c r="L10" s="2035" t="str">
        <f>IF(L9="","",INDEX(DIFFERENTIATION_UNMERGE_VD,MATCH(L9,DIFFERENTIATION_ID_DIFF,0)))</f>
        <v/>
      </c>
      <c r="M10" s="2035" t="str">
        <f>IF(M9="","",INDEX(DIFFERENTIATION_UNMERGE_VD,MATCH(M9,DIFFERENTIATION_ID_DIFF,0)))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10" s="2421" t="str">
        <f>IF(N9="","",INDEX(DIFFERENTIATION_UNMERGE_VD,MATCH(N9,DIFFERENTIATION_ID_DIFF,0)))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O10" s="2421" t="str">
        <f>IF(O9="","",INDEX(DIFFERENTIATION_UNMERGE_VD,MATCH(O9,DIFFERENTIATION_ID_DIFF,0)))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P10" s="2421" t="str">
        <f>IF(P9="","",INDEX(DIFFERENTIATION_UNMERGE_VD,MATCH(P9,DIFFERENTIATION_ID_DIFF,0)))</f>
        <v>Подключение (технологическое присоединение) к системе теплоснабжения</v>
      </c>
      <c r="R10" s="2155" t="s">
        <v>316</v>
      </c>
      <c r="AN10" s="1640">
        <v>11</v>
      </c>
    </row>
    <row customHeight="1" ht="11.549999999999999">
      <c r="E11" s="2056" t="s">
        <v>644</v>
      </c>
      <c r="I11" s="720"/>
      <c r="J11" s="2395" t="s">
        <v>577</v>
      </c>
      <c r="K11" s="2396"/>
      <c r="L11" s="2035" t="str">
        <f>IF(L9="","",INDEX(DIFFERENTIATION_UNMERGE_AREA,MATCH(L9,DIFFERENTIATION_ID_DIFF,0)))</f>
        <v/>
      </c>
      <c r="M11" s="2035" t="str">
        <f>IF(M9="","",INDEX(DIFFERENTIATION_UNMERGE_AREA,MATCH(M9,DIFFERENTIATION_ID_DIFF,0)))</f>
        <v>Территория 1</v>
      </c>
      <c r="N11" s="2421" t="str">
        <f>IF(N9="","",INDEX(DIFFERENTIATION_UNMERGE_AREA,MATCH(N9,DIFFERENTIATION_ID_DIFF,0)))</f>
        <v>Территория 3</v>
      </c>
      <c r="O11" s="2421" t="str">
        <f>IF(O9="","",INDEX(DIFFERENTIATION_UNMERGE_AREA,MATCH(O9,DIFFERENTIATION_ID_DIFF,0)))</f>
        <v>Территория 2</v>
      </c>
      <c r="P11" s="2421" t="str">
        <f>IF(P9="","",INDEX(DIFFERENTIATION_UNMERGE_AREA,MATCH(P9,DIFFERENTIATION_ID_DIFF,0)))</f>
        <v>без дифференциации</v>
      </c>
      <c r="R11" s="2155"/>
      <c r="AN11" s="1640">
        <v>11</v>
      </c>
    </row>
    <row customHeight="1" ht="11.549999999999999">
      <c r="E12" s="2056" t="s">
        <v>645</v>
      </c>
      <c r="I12" s="1671"/>
      <c r="J12" s="2395" t="s">
        <v>578</v>
      </c>
      <c r="K12" s="2396"/>
      <c r="L12" s="2035" t="str">
        <f>IF(L9="","",INDEX(DIFFERENTIATION_UNMERGE_SYSTEM,MATCH(L9,DIFFERENTIATION_ID_DIFF,0)))</f>
        <v/>
      </c>
      <c r="M12" s="2035" t="str">
        <f>IF(M9="","",INDEX(DIFFERENTIATION_UNMERGE_SYSTEM,MATCH(M9,DIFFERENTIATION_ID_DIFF,0)))</f>
        <v>Артемовская ТЭЦ, ТС г. Артем</v>
      </c>
      <c r="N12" s="2421" t="str">
        <f>IF(N9="","",INDEX(DIFFERENTIATION_UNMERGE_SYSTEM,MATCH(N9,DIFFERENTIATION_ID_DIFF,0)))</f>
        <v>Партизанская ГРЭС, ТС г. Партизанск</v>
      </c>
      <c r="O12" s="2421" t="str">
        <f>IF(O9="","",INDEX(DIFFERENTIATION_UNMERGE_SYSTEM,MATCH(O9,DIFFERENTIATION_ID_DIFF,0)))</f>
        <v>Восточная ТЭЦ, котельные г. Владивосток, ТС г. Владивосток</v>
      </c>
      <c r="P12" s="2421" t="str">
        <f>IF(P9="","",INDEX(DIFFERENTIATION_UNMERGE_SYSTEM,MATCH(P9,DIFFERENTIATION_ID_DIFF,0)))</f>
        <v>без дифференциации</v>
      </c>
      <c r="R12" s="2155"/>
      <c r="AN12" s="1640">
        <v>11</v>
      </c>
    </row>
    <row customHeight="1" ht="11.549999999999999">
      <c r="E13" s="2056" t="s">
        <v>646</v>
      </c>
      <c r="F13" s="2056" t="s">
        <v>647</v>
      </c>
      <c r="I13" s="2397" t="s">
        <v>315</v>
      </c>
      <c r="J13" s="2398"/>
      <c r="K13" s="2398"/>
      <c r="L13" s="2033"/>
      <c r="M13" s="2073"/>
      <c r="N13" s="2395"/>
      <c r="O13" s="2395"/>
      <c r="P13" s="2395"/>
      <c r="R13" s="2155"/>
      <c r="AN13" s="1640">
        <v>11</v>
      </c>
    </row>
    <row customHeight="1" ht="24">
      <c r="I14" s="2026" t="s">
        <v>89</v>
      </c>
      <c r="J14" s="2026" t="s">
        <v>317</v>
      </c>
      <c r="K14" s="2026" t="s">
        <v>579</v>
      </c>
      <c r="L14" s="2066" t="s">
        <v>318</v>
      </c>
      <c r="M14" s="2067" t="s">
        <v>318</v>
      </c>
      <c r="N14" s="2290" t="s">
        <v>318</v>
      </c>
      <c r="O14" s="2290" t="s">
        <v>318</v>
      </c>
      <c r="P14" s="2290" t="s">
        <v>318</v>
      </c>
      <c r="R14" s="2155"/>
      <c r="AN14" s="1640">
        <v>23</v>
      </c>
    </row>
    <row customHeight="1" ht="24">
      <c r="A15" s="2060"/>
      <c r="B15" s="2059" t="s">
        <v>648</v>
      </c>
      <c r="C15" s="2059" t="s">
        <v>649</v>
      </c>
      <c r="D15" s="2058" t="s">
        <v>650</v>
      </c>
      <c r="E15" s="2062" t="s">
        <v>651</v>
      </c>
      <c r="F15" s="2062" t="s">
        <v>651</v>
      </c>
      <c r="G15" s="1645" t="s">
        <v>599</v>
      </c>
      <c r="H15" s="2027"/>
      <c r="I15" s="1639">
        <v>1</v>
      </c>
      <c r="J15" s="2028" t="s">
        <v>652</v>
      </c>
      <c r="K15" s="2026" t="s">
        <v>321</v>
      </c>
      <c r="L15" s="671"/>
      <c r="M15" s="827"/>
      <c r="N15" s="671"/>
      <c r="O15" s="671"/>
      <c r="P15" s="671"/>
      <c r="Q15" s="552" t="s">
        <v>653</v>
      </c>
      <c r="R15" s="1534" t="s">
        <v>654</v>
      </c>
      <c r="S15" s="552" t="s">
        <v>653</v>
      </c>
      <c r="AN15" s="1640">
        <v>23</v>
      </c>
    </row>
    <row customHeight="1" ht="35.699999999999996">
      <c r="A16" s="2060"/>
      <c r="B16" s="2059" t="s">
        <v>655</v>
      </c>
      <c r="C16" s="2059" t="s">
        <v>656</v>
      </c>
      <c r="D16" s="2058" t="s">
        <v>640</v>
      </c>
      <c r="E16" s="2062" t="s">
        <v>651</v>
      </c>
      <c r="F16" s="2062" t="s">
        <v>651</v>
      </c>
      <c r="H16" s="2027"/>
      <c r="I16" s="1638">
        <v>2</v>
      </c>
      <c r="J16" s="2069" t="s">
        <v>657</v>
      </c>
      <c r="K16" s="2068" t="s">
        <v>569</v>
      </c>
      <c r="L16" s="2074"/>
      <c r="M16" s="1684"/>
      <c r="N16" s="2074"/>
      <c r="O16" s="2074"/>
      <c r="P16" s="2074"/>
      <c r="Q16" s="552" t="s">
        <v>653</v>
      </c>
      <c r="R16" s="1534" t="s">
        <v>658</v>
      </c>
      <c r="S16" s="552" t="s">
        <v>653</v>
      </c>
      <c r="AN16" s="1640">
        <v>34</v>
      </c>
    </row>
    <row s="1651" customFormat="1" customHeight="1" ht="17.25" hidden="1">
      <c r="A17" s="1176"/>
      <c r="B17" s="1176"/>
      <c r="C17" s="1176"/>
      <c r="D17" s="1176"/>
      <c r="E17" s="1176"/>
      <c r="H17" s="1333"/>
      <c r="I17" s="1022" t="s">
        <v>659</v>
      </c>
      <c r="J17" s="1000"/>
      <c r="K17" s="1022"/>
      <c r="L17" s="1001"/>
      <c r="M17" s="1001"/>
      <c r="N17" s="1001"/>
      <c r="O17" s="1001"/>
      <c r="P17" s="1001"/>
      <c r="R17" s="1394"/>
      <c r="AN17" s="1645">
        <v>1</v>
      </c>
    </row>
    <row s="1375" customFormat="1" customHeight="1" ht="24">
      <c r="A18" s="996"/>
      <c r="B18" s="996"/>
      <c r="C18" s="996"/>
      <c r="D18" s="996"/>
      <c r="E18" s="996"/>
      <c r="G18" s="1645"/>
      <c r="H18" s="1642"/>
      <c r="I18" s="579"/>
      <c r="J18" s="580" t="s">
        <v>607</v>
      </c>
      <c r="K18" s="581"/>
      <c r="L18" s="2076"/>
      <c r="M18" s="582"/>
      <c r="N18" s="2685"/>
      <c r="O18" s="2686"/>
      <c r="P18" s="2687"/>
      <c r="Q18" s="552"/>
      <c r="R18" s="1534" t="s">
        <v>608</v>
      </c>
      <c r="S18" s="552"/>
      <c r="T18" s="1645"/>
      <c r="U18" s="1645"/>
      <c r="Z18" s="1645"/>
      <c r="AC18" s="553"/>
      <c r="AI18" s="1641"/>
      <c r="AJ18" s="1641"/>
      <c r="AK18" s="1641"/>
      <c r="AL18" s="1641"/>
      <c r="AM18" s="1641"/>
      <c r="AN18" s="1375">
        <v>23</v>
      </c>
    </row>
    <row customHeight="1" ht="19.95">
      <c r="A19" s="2060"/>
      <c r="B19" s="2059" t="s">
        <v>660</v>
      </c>
      <c r="C19" s="2059" t="s">
        <v>661</v>
      </c>
      <c r="D19" s="2058" t="s">
        <v>640</v>
      </c>
      <c r="E19" s="2062" t="s">
        <v>651</v>
      </c>
      <c r="F19" s="2062" t="s">
        <v>651</v>
      </c>
      <c r="H19" s="2027"/>
      <c r="I19" s="1673">
        <v>3</v>
      </c>
      <c r="J19" s="2028" t="s">
        <v>661</v>
      </c>
      <c r="K19" s="2024" t="s">
        <v>569</v>
      </c>
      <c r="L19" s="736"/>
      <c r="M19" s="566"/>
      <c r="N19" s="736"/>
      <c r="O19" s="736"/>
      <c r="P19" s="736"/>
      <c r="Q19" s="552"/>
      <c r="R19" s="1534" t="s">
        <v>662</v>
      </c>
      <c r="S19" s="552"/>
      <c r="AN19" s="1640">
        <v>19</v>
      </c>
    </row>
    <row customHeight="1" ht="77.7">
      <c r="A20" s="2060"/>
      <c r="B20" s="2059" t="s">
        <v>663</v>
      </c>
      <c r="C20" s="2059" t="s">
        <v>664</v>
      </c>
      <c r="D20" s="2058" t="s">
        <v>640</v>
      </c>
      <c r="E20" s="2062" t="s">
        <v>651</v>
      </c>
      <c r="F20" s="2062" t="s">
        <v>651</v>
      </c>
      <c r="H20" s="2027"/>
      <c r="I20" s="1673">
        <v>4</v>
      </c>
      <c r="J20" s="2028" t="s">
        <v>665</v>
      </c>
      <c r="K20" s="2024" t="s">
        <v>604</v>
      </c>
      <c r="L20" s="736"/>
      <c r="M20" s="566"/>
      <c r="N20" s="736"/>
      <c r="O20" s="736"/>
      <c r="P20" s="736"/>
      <c r="Q20" s="552"/>
      <c r="R20" s="1534"/>
      <c r="S20" s="552"/>
      <c r="AN20" s="1640">
        <v>74</v>
      </c>
    </row>
    <row customHeight="1" ht="35.699999999999996">
      <c r="A21" s="2060"/>
      <c r="B21" s="2059" t="s">
        <v>666</v>
      </c>
      <c r="C21" s="2059" t="s">
        <v>667</v>
      </c>
      <c r="D21" s="2058" t="s">
        <v>640</v>
      </c>
      <c r="E21" s="2062" t="s">
        <v>651</v>
      </c>
      <c r="F21" s="2062" t="s">
        <v>651</v>
      </c>
      <c r="H21" s="2027"/>
      <c r="I21" s="1673">
        <v>5</v>
      </c>
      <c r="J21" s="2028" t="s">
        <v>668</v>
      </c>
      <c r="K21" s="2024" t="s">
        <v>604</v>
      </c>
      <c r="L21" s="736"/>
      <c r="M21" s="566"/>
      <c r="N21" s="736"/>
      <c r="O21" s="736"/>
      <c r="P21" s="736"/>
      <c r="Q21" s="552"/>
      <c r="R21" s="1534" t="s">
        <v>662</v>
      </c>
      <c r="S21" s="552"/>
      <c r="AN21" s="1640">
        <v>34</v>
      </c>
    </row>
    <row customHeight="1" ht="48.29999999999999">
      <c r="A22" s="2060"/>
      <c r="B22" s="2059" t="s">
        <v>669</v>
      </c>
      <c r="C22" s="2059" t="s">
        <v>670</v>
      </c>
      <c r="D22" s="2058" t="s">
        <v>640</v>
      </c>
      <c r="E22" s="2062" t="s">
        <v>651</v>
      </c>
      <c r="F22" s="2062" t="s">
        <v>651</v>
      </c>
      <c r="H22" s="2027"/>
      <c r="I22" s="1673">
        <v>6</v>
      </c>
      <c r="J22" s="2028" t="s">
        <v>671</v>
      </c>
      <c r="K22" s="2024" t="s">
        <v>604</v>
      </c>
      <c r="L22" s="736"/>
      <c r="M22" s="566"/>
      <c r="N22" s="736"/>
      <c r="O22" s="736"/>
      <c r="P22" s="736"/>
      <c r="Q22" s="552"/>
      <c r="R22" s="1534" t="s">
        <v>672</v>
      </c>
      <c r="S22" s="552"/>
      <c r="AN22" s="1640">
        <v>46</v>
      </c>
    </row>
    <row customHeight="1" ht="19.95">
      <c r="A23" s="2060"/>
      <c r="B23" s="2059" t="s">
        <v>673</v>
      </c>
      <c r="C23" s="2059" t="s">
        <v>674</v>
      </c>
      <c r="D23" s="2058" t="s">
        <v>640</v>
      </c>
      <c r="E23" s="2062" t="s">
        <v>651</v>
      </c>
      <c r="F23" s="2062" t="s">
        <v>651</v>
      </c>
      <c r="H23" s="2027"/>
      <c r="I23" s="1673" t="s">
        <v>675</v>
      </c>
      <c r="J23" s="1533" t="s">
        <v>676</v>
      </c>
      <c r="K23" s="2024" t="s">
        <v>604</v>
      </c>
      <c r="L23" s="736"/>
      <c r="M23" s="566"/>
      <c r="N23" s="736"/>
      <c r="O23" s="736"/>
      <c r="P23" s="736"/>
      <c r="Q23" s="552"/>
      <c r="R23" s="1534" t="s">
        <v>662</v>
      </c>
      <c r="S23" s="552"/>
      <c r="AN23" s="1640">
        <v>19</v>
      </c>
    </row>
    <row customHeight="1" ht="19.95">
      <c r="A24" s="2060"/>
      <c r="B24" s="2059" t="s">
        <v>677</v>
      </c>
      <c r="C24" s="2059" t="s">
        <v>678</v>
      </c>
      <c r="D24" s="2058" t="s">
        <v>640</v>
      </c>
      <c r="E24" s="2062" t="s">
        <v>651</v>
      </c>
      <c r="F24" s="2062" t="s">
        <v>651</v>
      </c>
      <c r="H24" s="2027"/>
      <c r="I24" s="1673" t="s">
        <v>679</v>
      </c>
      <c r="J24" s="1533" t="s">
        <v>680</v>
      </c>
      <c r="K24" s="2024" t="s">
        <v>604</v>
      </c>
      <c r="L24" s="736"/>
      <c r="M24" s="566"/>
      <c r="N24" s="736"/>
      <c r="O24" s="736"/>
      <c r="P24" s="736"/>
      <c r="Q24" s="552"/>
      <c r="R24" s="1534"/>
      <c r="S24" s="552"/>
      <c r="AN24" s="1640">
        <v>19</v>
      </c>
    </row>
    <row customHeight="1" ht="24">
      <c r="A25" s="2060"/>
      <c r="B25" s="2059" t="s">
        <v>681</v>
      </c>
      <c r="C25" s="2059" t="s">
        <v>682</v>
      </c>
      <c r="D25" s="2058" t="s">
        <v>640</v>
      </c>
      <c r="E25" s="2062" t="s">
        <v>651</v>
      </c>
      <c r="F25" s="2062" t="s">
        <v>651</v>
      </c>
      <c r="H25" s="2027"/>
      <c r="I25" s="1673" t="s">
        <v>683</v>
      </c>
      <c r="J25" s="1533" t="s">
        <v>684</v>
      </c>
      <c r="K25" s="2024" t="s">
        <v>604</v>
      </c>
      <c r="L25" s="736"/>
      <c r="M25" s="566"/>
      <c r="N25" s="736"/>
      <c r="O25" s="736"/>
      <c r="P25" s="736"/>
      <c r="Q25" s="552"/>
      <c r="R25" s="1534"/>
      <c r="S25" s="552"/>
      <c r="AN25" s="1640">
        <v>23</v>
      </c>
    </row>
    <row customHeight="1" ht="24">
      <c r="A26" s="2060"/>
      <c r="B26" s="2059" t="s">
        <v>685</v>
      </c>
      <c r="C26" s="2059" t="s">
        <v>686</v>
      </c>
      <c r="D26" s="2058" t="s">
        <v>640</v>
      </c>
      <c r="E26" s="2062" t="s">
        <v>651</v>
      </c>
      <c r="F26" s="2062" t="s">
        <v>651</v>
      </c>
      <c r="H26" s="2027"/>
      <c r="I26" s="1673">
        <v>7</v>
      </c>
      <c r="J26" s="2028" t="s">
        <v>686</v>
      </c>
      <c r="K26" s="2024" t="s">
        <v>687</v>
      </c>
      <c r="L26" s="736"/>
      <c r="M26" s="566"/>
      <c r="N26" s="736"/>
      <c r="O26" s="736"/>
      <c r="P26" s="736"/>
      <c r="Q26" s="552"/>
      <c r="R26" s="1534"/>
      <c r="S26" s="552"/>
      <c r="AN26" s="1640">
        <v>23</v>
      </c>
    </row>
    <row customHeight="1" ht="24">
      <c r="A27" s="2060"/>
      <c r="B27" s="2059" t="s">
        <v>688</v>
      </c>
      <c r="C27" s="2059" t="s">
        <v>689</v>
      </c>
      <c r="D27" s="2058" t="s">
        <v>640</v>
      </c>
      <c r="E27" s="2062" t="s">
        <v>651</v>
      </c>
      <c r="F27" s="2062" t="s">
        <v>651</v>
      </c>
      <c r="H27" s="2027"/>
      <c r="I27" s="1673">
        <v>8</v>
      </c>
      <c r="J27" s="2028" t="s">
        <v>689</v>
      </c>
      <c r="K27" s="2024" t="s">
        <v>609</v>
      </c>
      <c r="L27" s="736"/>
      <c r="M27" s="566"/>
      <c r="N27" s="736"/>
      <c r="O27" s="736"/>
      <c r="P27" s="736"/>
      <c r="Q27" s="552"/>
      <c r="R27" s="1534"/>
      <c r="S27" s="552"/>
      <c r="AN27" s="1640">
        <v>23</v>
      </c>
    </row>
    <row customHeight="1" ht="35.699999999999996">
      <c r="A28" s="2060"/>
      <c r="B28" s="2059" t="s">
        <v>690</v>
      </c>
      <c r="C28" s="2059" t="s">
        <v>691</v>
      </c>
      <c r="D28" s="2058" t="s">
        <v>640</v>
      </c>
      <c r="E28" s="2062" t="s">
        <v>651</v>
      </c>
      <c r="F28" s="2062" t="s">
        <v>651</v>
      </c>
      <c r="H28" s="2027"/>
      <c r="I28" s="1683">
        <v>9</v>
      </c>
      <c r="J28" s="2028" t="s">
        <v>692</v>
      </c>
      <c r="K28" s="2024" t="s">
        <v>573</v>
      </c>
      <c r="L28" s="736"/>
      <c r="M28" s="566"/>
      <c r="N28" s="736"/>
      <c r="O28" s="736"/>
      <c r="P28" s="736"/>
      <c r="Q28" s="552"/>
      <c r="R28" s="1534"/>
      <c r="S28" s="552"/>
      <c r="AN28" s="1640">
        <v>34</v>
      </c>
    </row>
    <row customHeight="1" ht="35.699999999999996">
      <c r="A29" s="2060"/>
      <c r="B29" s="2059" t="s">
        <v>693</v>
      </c>
      <c r="C29" s="2059" t="s">
        <v>694</v>
      </c>
      <c r="D29" s="2058" t="s">
        <v>640</v>
      </c>
      <c r="E29" s="2062" t="s">
        <v>651</v>
      </c>
      <c r="F29" s="2062" t="s">
        <v>651</v>
      </c>
      <c r="H29" s="2027"/>
      <c r="I29" s="1683">
        <v>10</v>
      </c>
      <c r="J29" s="2028" t="s">
        <v>695</v>
      </c>
      <c r="K29" s="2024" t="s">
        <v>573</v>
      </c>
      <c r="L29" s="736"/>
      <c r="M29" s="566"/>
      <c r="N29" s="736"/>
      <c r="O29" s="736"/>
      <c r="P29" s="736"/>
      <c r="Q29" s="552"/>
      <c r="R29" s="1534"/>
      <c r="S29" s="552"/>
      <c r="AN29" s="1640">
        <v>34</v>
      </c>
    </row>
    <row customHeight="1" ht="24">
      <c r="A30" s="2060"/>
      <c r="B30" s="2059" t="s">
        <v>696</v>
      </c>
      <c r="C30" s="2059" t="s">
        <v>697</v>
      </c>
      <c r="D30" s="2058" t="s">
        <v>640</v>
      </c>
      <c r="E30" s="2062" t="s">
        <v>651</v>
      </c>
      <c r="F30" s="2062" t="s">
        <v>651</v>
      </c>
      <c r="H30" s="2027"/>
      <c r="I30" s="1683">
        <v>11</v>
      </c>
      <c r="J30" s="2028" t="s">
        <v>697</v>
      </c>
      <c r="K30" s="2024" t="s">
        <v>610</v>
      </c>
      <c r="L30" s="2075"/>
      <c r="M30" s="1630"/>
      <c r="N30" s="2075"/>
      <c r="O30" s="2075"/>
      <c r="P30" s="2075"/>
      <c r="Q30" s="552"/>
      <c r="R30" s="1534"/>
      <c r="S30" s="552"/>
      <c r="AN30" s="1640">
        <v>23</v>
      </c>
    </row>
    <row customHeight="1" ht="24">
      <c r="A31" s="2060"/>
      <c r="B31" s="2059" t="s">
        <v>698</v>
      </c>
      <c r="C31" s="2059" t="s">
        <v>699</v>
      </c>
      <c r="D31" s="2058" t="s">
        <v>640</v>
      </c>
      <c r="E31" s="2062" t="s">
        <v>651</v>
      </c>
      <c r="F31" s="2062" t="s">
        <v>651</v>
      </c>
      <c r="H31" s="2027"/>
      <c r="I31" s="1683">
        <v>12</v>
      </c>
      <c r="J31" s="2028" t="s">
        <v>699</v>
      </c>
      <c r="K31" s="2024" t="s">
        <v>610</v>
      </c>
      <c r="L31" s="2075"/>
      <c r="M31" s="1630"/>
      <c r="N31" s="2075"/>
      <c r="O31" s="2075"/>
      <c r="P31" s="2075"/>
      <c r="Q31" s="552"/>
      <c r="R31" s="1534"/>
      <c r="S31" s="552"/>
      <c r="AN31" s="1640">
        <v>23</v>
      </c>
    </row>
    <row customHeight="1" ht="48.29999999999999">
      <c r="A32" s="2060"/>
      <c r="B32" s="2059" t="s">
        <v>700</v>
      </c>
      <c r="C32" s="2059" t="s">
        <v>701</v>
      </c>
      <c r="D32" s="2058" t="s">
        <v>640</v>
      </c>
      <c r="E32" s="2062" t="s">
        <v>651</v>
      </c>
      <c r="F32" s="2062" t="s">
        <v>651</v>
      </c>
      <c r="H32" s="2027"/>
      <c r="I32" s="1683">
        <v>13</v>
      </c>
      <c r="J32" s="2028" t="s">
        <v>702</v>
      </c>
      <c r="K32" s="2024" t="s">
        <v>620</v>
      </c>
      <c r="L32" s="736"/>
      <c r="M32" s="566"/>
      <c r="N32" s="736"/>
      <c r="O32" s="736"/>
      <c r="P32" s="736"/>
      <c r="Q32" s="552"/>
      <c r="R32" s="1534" t="s">
        <v>662</v>
      </c>
      <c r="S32" s="552"/>
      <c r="AN32" s="1640">
        <v>46</v>
      </c>
    </row>
    <row s="1375" customFormat="1" customHeight="1" ht="48.29999999999999">
      <c r="A33" s="2060"/>
      <c r="B33" s="2059" t="s">
        <v>703</v>
      </c>
      <c r="C33" s="2059" t="s">
        <v>704</v>
      </c>
      <c r="D33" s="2058" t="s">
        <v>640</v>
      </c>
      <c r="E33" s="2062" t="s">
        <v>651</v>
      </c>
      <c r="F33" s="2062" t="s">
        <v>651</v>
      </c>
      <c r="G33" s="1645"/>
      <c r="H33" s="2027"/>
      <c r="I33" s="1683">
        <v>14</v>
      </c>
      <c r="J33" s="2040" t="s">
        <v>705</v>
      </c>
      <c r="K33" s="2029" t="s">
        <v>706</v>
      </c>
      <c r="L33" s="736"/>
      <c r="M33" s="566"/>
      <c r="N33" s="736"/>
      <c r="O33" s="736"/>
      <c r="P33" s="736"/>
      <c r="Q33" s="552"/>
      <c r="R33" s="1534" t="s">
        <v>662</v>
      </c>
      <c r="S33" s="552"/>
      <c r="T33" s="1645"/>
      <c r="U33" s="1645"/>
      <c r="Z33" s="1645"/>
      <c r="AC33" s="553"/>
      <c r="AI33" s="1641"/>
      <c r="AJ33" s="1641"/>
      <c r="AK33" s="1641"/>
      <c r="AL33" s="1641"/>
      <c r="AM33" s="1641"/>
      <c r="AN33" s="1375">
        <v>46</v>
      </c>
    </row>
    <row customHeight="1" ht="108">
      <c r="A34" s="2060"/>
      <c r="B34" s="2059" t="s">
        <v>707</v>
      </c>
      <c r="C34" s="2059" t="s">
        <v>708</v>
      </c>
      <c r="D34" s="2058" t="s">
        <v>650</v>
      </c>
      <c r="E34" s="2062" t="s">
        <v>651</v>
      </c>
      <c r="F34" s="2062" t="s">
        <v>651</v>
      </c>
      <c r="G34" s="1645" t="s">
        <v>599</v>
      </c>
      <c r="H34" s="2027"/>
      <c r="I34" s="2038">
        <v>15</v>
      </c>
      <c r="J34" s="2039" t="s">
        <v>709</v>
      </c>
      <c r="K34" s="2024" t="s">
        <v>321</v>
      </c>
      <c r="L34" s="394"/>
      <c r="M34" s="1173"/>
      <c r="N34" s="394"/>
      <c r="O34" s="394"/>
      <c r="P34" s="394"/>
      <c r="Q34" s="552"/>
      <c r="R34" s="1534" t="s">
        <v>654</v>
      </c>
      <c r="S34" s="552"/>
      <c r="AN34" s="1640">
        <v>103</v>
      </c>
    </row>
    <row s="1650" customFormat="1" customHeight="1" ht="11.549999999999999">
      <c r="A35" s="996"/>
      <c r="B35" s="996"/>
      <c r="C35" s="996"/>
      <c r="D35" s="996"/>
      <c r="E35" s="996"/>
      <c r="F35" s="1645"/>
      <c r="G35" s="1645"/>
      <c r="H35" s="360"/>
      <c r="N35" s="1650"/>
      <c r="O35" s="1650"/>
      <c r="P35" s="1650"/>
      <c r="Q35" s="1375"/>
      <c r="S35" s="1375"/>
      <c r="T35" s="1645"/>
      <c r="U35" s="1645"/>
      <c r="V35" s="1375"/>
      <c r="W35" s="1375"/>
      <c r="X35" s="1375"/>
      <c r="Y35" s="1375"/>
      <c r="Z35" s="1645"/>
      <c r="AA35" s="1375"/>
      <c r="AB35" s="1375"/>
      <c r="AC35" s="553"/>
      <c r="AD35" s="1375"/>
      <c r="AE35" s="1375"/>
      <c r="AF35" s="1375"/>
      <c r="AG35" s="1375"/>
      <c r="AH35" s="1375"/>
      <c r="AI35" s="1641"/>
      <c r="AJ35" s="631"/>
      <c r="AK35" s="631"/>
      <c r="AL35" s="631"/>
      <c r="AM35" s="631"/>
      <c r="AN35" s="1650">
        <v>11</v>
      </c>
    </row>
    <row s="1650" customFormat="1" customHeight="1" ht="11.549999999999999">
      <c r="A36" s="996"/>
      <c r="B36" s="996"/>
      <c r="C36" s="996"/>
      <c r="D36" s="996"/>
      <c r="E36" s="996"/>
      <c r="F36" s="1645"/>
      <c r="G36" s="1645"/>
      <c r="H36" s="360"/>
      <c r="N36" s="1650"/>
      <c r="O36" s="1650"/>
      <c r="P36" s="1650"/>
      <c r="Q36" s="1375"/>
      <c r="S36" s="1375"/>
      <c r="T36" s="1645"/>
      <c r="U36" s="1645"/>
      <c r="V36" s="1375"/>
      <c r="W36" s="1375"/>
      <c r="X36" s="1375"/>
      <c r="Y36" s="1375"/>
      <c r="Z36" s="1645"/>
      <c r="AA36" s="1375"/>
      <c r="AB36" s="1375"/>
      <c r="AC36" s="553"/>
      <c r="AD36" s="1375"/>
      <c r="AE36" s="1375"/>
      <c r="AF36" s="1375"/>
      <c r="AG36" s="1375"/>
      <c r="AH36" s="1375"/>
      <c r="AI36" s="1641"/>
      <c r="AJ36" s="631"/>
      <c r="AK36" s="631"/>
      <c r="AL36" s="631"/>
      <c r="AM36" s="631"/>
      <c r="AN36" s="1650">
        <v>11</v>
      </c>
    </row>
    <row s="1650" customFormat="1" customHeight="1" ht="11.549999999999999">
      <c r="A37" s="996"/>
      <c r="B37" s="996"/>
      <c r="C37" s="996"/>
      <c r="D37" s="996"/>
      <c r="E37" s="996"/>
      <c r="F37" s="1645"/>
      <c r="G37" s="1645"/>
      <c r="H37" s="360"/>
      <c r="L37" s="631"/>
      <c r="M37" s="631"/>
      <c r="N37" s="631"/>
      <c r="O37" s="631"/>
      <c r="P37" s="631"/>
      <c r="Q37" s="1375"/>
      <c r="S37" s="1375"/>
      <c r="T37" s="1645"/>
      <c r="U37" s="1645"/>
      <c r="V37" s="1375"/>
      <c r="W37" s="1375"/>
      <c r="X37" s="1375"/>
      <c r="Y37" s="1375"/>
      <c r="Z37" s="1645"/>
      <c r="AA37" s="1375"/>
      <c r="AB37" s="1375"/>
      <c r="AC37" s="553"/>
      <c r="AD37" s="1375"/>
      <c r="AE37" s="1375"/>
      <c r="AF37" s="1375"/>
      <c r="AG37" s="1375"/>
      <c r="AH37" s="1375"/>
      <c r="AI37" s="1641"/>
      <c r="AJ37" s="631"/>
      <c r="AK37" s="631"/>
      <c r="AL37" s="631"/>
      <c r="AM37" s="631"/>
      <c r="AN37" s="1650">
        <v>11</v>
      </c>
    </row>
    <row s="1650" customFormat="1" customHeight="1" ht="11.549999999999999">
      <c r="A38" s="996"/>
      <c r="B38" s="996"/>
      <c r="C38" s="996"/>
      <c r="D38" s="996"/>
      <c r="E38" s="996"/>
      <c r="F38" s="1645"/>
      <c r="G38" s="1645"/>
      <c r="H38" s="360"/>
      <c r="N38" s="1650"/>
      <c r="O38" s="1650"/>
      <c r="P38" s="1650"/>
      <c r="Q38" s="1375"/>
      <c r="S38" s="1375"/>
      <c r="T38" s="1645"/>
      <c r="U38" s="1645"/>
      <c r="V38" s="1375"/>
      <c r="W38" s="1375"/>
      <c r="X38" s="1375"/>
      <c r="Y38" s="1375"/>
      <c r="Z38" s="1645"/>
      <c r="AA38" s="1375"/>
      <c r="AB38" s="1375"/>
      <c r="AC38" s="553"/>
      <c r="AD38" s="1375"/>
      <c r="AE38" s="1375"/>
      <c r="AF38" s="1375"/>
      <c r="AG38" s="1375"/>
      <c r="AH38" s="1375"/>
      <c r="AI38" s="1641"/>
      <c r="AJ38" s="631"/>
      <c r="AK38" s="631"/>
      <c r="AL38" s="631"/>
      <c r="AM38" s="631"/>
      <c r="AN38" s="1650">
        <v>11</v>
      </c>
    </row>
    <row s="1650" customFormat="1" customHeight="1" ht="11.549999999999999">
      <c r="A39" s="996"/>
      <c r="B39" s="996"/>
      <c r="C39" s="996"/>
      <c r="D39" s="996"/>
      <c r="E39" s="996"/>
      <c r="F39" s="1645"/>
      <c r="G39" s="1645"/>
      <c r="H39" s="360"/>
      <c r="N39" s="1650"/>
      <c r="O39" s="1650"/>
      <c r="P39" s="1650"/>
      <c r="Q39" s="1375"/>
      <c r="S39" s="1375"/>
      <c r="T39" s="1645"/>
      <c r="U39" s="1645"/>
      <c r="V39" s="1375"/>
      <c r="W39" s="1375"/>
      <c r="X39" s="1375"/>
      <c r="Y39" s="1375"/>
      <c r="Z39" s="1645"/>
      <c r="AA39" s="1375"/>
      <c r="AB39" s="1375"/>
      <c r="AC39" s="553"/>
      <c r="AD39" s="1375"/>
      <c r="AE39" s="1375"/>
      <c r="AF39" s="1375"/>
      <c r="AG39" s="1375"/>
      <c r="AH39" s="1375"/>
      <c r="AI39" s="1641"/>
      <c r="AJ39" s="631"/>
      <c r="AK39" s="631"/>
      <c r="AL39" s="631"/>
      <c r="AM39" s="631"/>
      <c r="AN39" s="1650">
        <v>11</v>
      </c>
    </row>
    <row s="1650" customFormat="1" customHeight="1" ht="11.549999999999999">
      <c r="A40" s="996"/>
      <c r="B40" s="996"/>
      <c r="C40" s="996"/>
      <c r="D40" s="996"/>
      <c r="E40" s="996"/>
      <c r="F40" s="1645"/>
      <c r="G40" s="1645"/>
      <c r="H40" s="360"/>
      <c r="N40" s="1650"/>
      <c r="O40" s="1650"/>
      <c r="P40" s="1650"/>
      <c r="Q40" s="1375"/>
      <c r="S40" s="1375"/>
      <c r="T40" s="1645"/>
      <c r="U40" s="1645"/>
      <c r="V40" s="1375"/>
      <c r="W40" s="1375"/>
      <c r="X40" s="1375"/>
      <c r="Y40" s="1375"/>
      <c r="Z40" s="1645"/>
      <c r="AA40" s="1375"/>
      <c r="AB40" s="1375"/>
      <c r="AC40" s="553"/>
      <c r="AD40" s="1375"/>
      <c r="AE40" s="1375"/>
      <c r="AF40" s="1375"/>
      <c r="AG40" s="1375"/>
      <c r="AH40" s="1375"/>
      <c r="AI40" s="1641"/>
      <c r="AJ40" s="631"/>
      <c r="AK40" s="631"/>
      <c r="AL40" s="631"/>
      <c r="AM40" s="631"/>
      <c r="AN40" s="1650">
        <v>11</v>
      </c>
    </row>
    <row s="1650" customFormat="1" customHeight="1" ht="11.549999999999999">
      <c r="A41" s="996"/>
      <c r="B41" s="996"/>
      <c r="C41" s="996"/>
      <c r="D41" s="996"/>
      <c r="E41" s="996"/>
      <c r="F41" s="1645"/>
      <c r="G41" s="1645"/>
      <c r="H41" s="360"/>
      <c r="N41" s="1650"/>
      <c r="O41" s="1650"/>
      <c r="P41" s="1650"/>
      <c r="Q41" s="1375"/>
      <c r="S41" s="1375"/>
      <c r="T41" s="1645"/>
      <c r="U41" s="1645"/>
      <c r="V41" s="1375"/>
      <c r="W41" s="1375"/>
      <c r="X41" s="1375"/>
      <c r="Y41" s="1375"/>
      <c r="Z41" s="1645"/>
      <c r="AA41" s="1375"/>
      <c r="AB41" s="1375"/>
      <c r="AC41" s="553"/>
      <c r="AD41" s="1375"/>
      <c r="AE41" s="1375"/>
      <c r="AF41" s="1375"/>
      <c r="AG41" s="1375"/>
      <c r="AH41" s="1375"/>
      <c r="AI41" s="1641"/>
      <c r="AJ41" s="631"/>
      <c r="AK41" s="631"/>
      <c r="AL41" s="631"/>
      <c r="AM41" s="631"/>
      <c r="AN41" s="1650">
        <v>11</v>
      </c>
    </row>
    <row s="1650" customFormat="1" customHeight="1" ht="11.549999999999999">
      <c r="A42" s="996"/>
      <c r="B42" s="996"/>
      <c r="C42" s="996"/>
      <c r="D42" s="996"/>
      <c r="E42" s="996"/>
      <c r="F42" s="1645"/>
      <c r="G42" s="1645"/>
      <c r="H42" s="360"/>
      <c r="N42" s="1650"/>
      <c r="O42" s="1650"/>
      <c r="P42" s="1650"/>
      <c r="Q42" s="1375"/>
      <c r="S42" s="1375"/>
      <c r="T42" s="1645"/>
      <c r="U42" s="1645"/>
      <c r="V42" s="1375"/>
      <c r="W42" s="1375"/>
      <c r="X42" s="1375"/>
      <c r="Y42" s="1375"/>
      <c r="Z42" s="1645"/>
      <c r="AA42" s="1375"/>
      <c r="AB42" s="1375"/>
      <c r="AC42" s="553"/>
      <c r="AD42" s="1375"/>
      <c r="AE42" s="1375"/>
      <c r="AF42" s="1375"/>
      <c r="AG42" s="1375"/>
      <c r="AH42" s="1375"/>
      <c r="AI42" s="1641"/>
      <c r="AJ42" s="631"/>
      <c r="AK42" s="631"/>
      <c r="AL42" s="631"/>
      <c r="AM42" s="631"/>
      <c r="AN42" s="1650">
        <v>11</v>
      </c>
    </row>
    <row s="1650" customFormat="1" customHeight="1" ht="11.549999999999999">
      <c r="A43" s="996"/>
      <c r="B43" s="996"/>
      <c r="C43" s="996"/>
      <c r="D43" s="996"/>
      <c r="E43" s="996"/>
      <c r="F43" s="1645"/>
      <c r="G43" s="1645"/>
      <c r="H43" s="360"/>
      <c r="N43" s="1650"/>
      <c r="O43" s="1650"/>
      <c r="P43" s="1650"/>
      <c r="Q43" s="1375"/>
      <c r="S43" s="1375"/>
      <c r="T43" s="1645"/>
      <c r="U43" s="1645"/>
      <c r="V43" s="1375"/>
      <c r="W43" s="1375"/>
      <c r="X43" s="1375"/>
      <c r="Y43" s="1375"/>
      <c r="Z43" s="1645"/>
      <c r="AA43" s="1375"/>
      <c r="AB43" s="1375"/>
      <c r="AC43" s="553"/>
      <c r="AD43" s="1375"/>
      <c r="AE43" s="1375"/>
      <c r="AF43" s="1375"/>
      <c r="AG43" s="1375"/>
      <c r="AH43" s="1375"/>
      <c r="AI43" s="1641"/>
      <c r="AJ43" s="631"/>
      <c r="AK43" s="631"/>
      <c r="AL43" s="631"/>
      <c r="AM43" s="631"/>
      <c r="AN43" s="1650">
        <v>11</v>
      </c>
    </row>
    <row s="1650" customFormat="1" customHeight="1" ht="11.549999999999999">
      <c r="A44" s="996"/>
      <c r="B44" s="996"/>
      <c r="C44" s="996"/>
      <c r="D44" s="996"/>
      <c r="E44" s="996"/>
      <c r="F44" s="1645"/>
      <c r="G44" s="1645"/>
      <c r="H44" s="360"/>
      <c r="N44" s="1650"/>
      <c r="O44" s="1650"/>
      <c r="P44" s="1650"/>
      <c r="Q44" s="1375"/>
      <c r="S44" s="1375"/>
      <c r="T44" s="1645"/>
      <c r="U44" s="1645"/>
      <c r="V44" s="1375"/>
      <c r="W44" s="1375"/>
      <c r="X44" s="1375"/>
      <c r="Y44" s="1375"/>
      <c r="Z44" s="1645"/>
      <c r="AA44" s="1375"/>
      <c r="AB44" s="1375"/>
      <c r="AC44" s="553"/>
      <c r="AD44" s="1375"/>
      <c r="AE44" s="1375"/>
      <c r="AF44" s="1375"/>
      <c r="AG44" s="1375"/>
      <c r="AH44" s="1375"/>
      <c r="AI44" s="1641"/>
      <c r="AJ44" s="631"/>
      <c r="AK44" s="631"/>
      <c r="AL44" s="631"/>
      <c r="AM44" s="631"/>
      <c r="AN44" s="1650">
        <v>11</v>
      </c>
    </row>
    <row s="1650" customFormat="1" customHeight="1" ht="11.549999999999999">
      <c r="A45" s="996"/>
      <c r="B45" s="996"/>
      <c r="C45" s="996"/>
      <c r="D45" s="996"/>
      <c r="E45" s="996"/>
      <c r="F45" s="1645"/>
      <c r="G45" s="1645"/>
      <c r="H45" s="360"/>
      <c r="N45" s="1650"/>
      <c r="O45" s="1650"/>
      <c r="P45" s="1650"/>
      <c r="Q45" s="1375"/>
      <c r="S45" s="1375"/>
      <c r="T45" s="1645"/>
      <c r="U45" s="1645"/>
      <c r="V45" s="1375"/>
      <c r="W45" s="1375"/>
      <c r="X45" s="1375"/>
      <c r="Y45" s="1375"/>
      <c r="Z45" s="1645"/>
      <c r="AA45" s="1375"/>
      <c r="AB45" s="1375"/>
      <c r="AC45" s="553"/>
      <c r="AD45" s="1375"/>
      <c r="AE45" s="1375"/>
      <c r="AF45" s="1375"/>
      <c r="AG45" s="1375"/>
      <c r="AH45" s="1375"/>
      <c r="AI45" s="1641"/>
      <c r="AJ45" s="631"/>
      <c r="AK45" s="631"/>
      <c r="AL45" s="631"/>
      <c r="AM45" s="631"/>
      <c r="AN45" s="1650">
        <v>11</v>
      </c>
    </row>
    <row s="1650" customFormat="1" customHeight="1" ht="11.549999999999999">
      <c r="A46" s="996"/>
      <c r="B46" s="996"/>
      <c r="C46" s="996"/>
      <c r="D46" s="996"/>
      <c r="E46" s="996"/>
      <c r="F46" s="1645"/>
      <c r="G46" s="1645"/>
      <c r="H46" s="360"/>
      <c r="N46" s="1650"/>
      <c r="O46" s="1650"/>
      <c r="P46" s="1650"/>
      <c r="Q46" s="1375"/>
      <c r="S46" s="1375"/>
      <c r="T46" s="1645"/>
      <c r="U46" s="1645"/>
      <c r="V46" s="1375"/>
      <c r="W46" s="1375"/>
      <c r="X46" s="1375"/>
      <c r="Y46" s="1375"/>
      <c r="Z46" s="1645"/>
      <c r="AA46" s="1375"/>
      <c r="AB46" s="1375"/>
      <c r="AC46" s="553"/>
      <c r="AD46" s="1375"/>
      <c r="AE46" s="1375"/>
      <c r="AF46" s="1375"/>
      <c r="AG46" s="1375"/>
      <c r="AH46" s="1375"/>
      <c r="AI46" s="1641"/>
      <c r="AJ46" s="631"/>
      <c r="AK46" s="631"/>
      <c r="AL46" s="631"/>
      <c r="AM46" s="631"/>
      <c r="AN46" s="1650">
        <v>11</v>
      </c>
    </row>
    <row s="1650" customFormat="1" customHeight="1" ht="11.549999999999999">
      <c r="A47" s="996"/>
      <c r="B47" s="996"/>
      <c r="C47" s="996"/>
      <c r="D47" s="996"/>
      <c r="E47" s="996"/>
      <c r="F47" s="1645"/>
      <c r="G47" s="1645"/>
      <c r="H47" s="360"/>
      <c r="N47" s="1650"/>
      <c r="O47" s="1650"/>
      <c r="P47" s="1650"/>
      <c r="Q47" s="1375"/>
      <c r="S47" s="1375"/>
      <c r="T47" s="1645"/>
      <c r="U47" s="1645"/>
      <c r="V47" s="1375"/>
      <c r="W47" s="1375"/>
      <c r="X47" s="1375"/>
      <c r="Y47" s="1375"/>
      <c r="Z47" s="1645"/>
      <c r="AA47" s="1375"/>
      <c r="AB47" s="1375"/>
      <c r="AC47" s="553"/>
      <c r="AD47" s="1375"/>
      <c r="AE47" s="1375"/>
      <c r="AF47" s="1375"/>
      <c r="AG47" s="1375"/>
      <c r="AH47" s="1375"/>
      <c r="AI47" s="1641"/>
      <c r="AJ47" s="631"/>
      <c r="AK47" s="631"/>
      <c r="AL47" s="631"/>
      <c r="AM47" s="631"/>
      <c r="AN47" s="1650">
        <v>11</v>
      </c>
    </row>
    <row s="1650" customFormat="1" customHeight="1" ht="11.549999999999999">
      <c r="A48" s="996"/>
      <c r="B48" s="996"/>
      <c r="C48" s="996"/>
      <c r="D48" s="996"/>
      <c r="E48" s="996"/>
      <c r="F48" s="1645"/>
      <c r="G48" s="1645"/>
      <c r="H48" s="360"/>
      <c r="N48" s="1650"/>
      <c r="O48" s="1650"/>
      <c r="P48" s="1650"/>
      <c r="Q48" s="1375"/>
      <c r="S48" s="1375"/>
      <c r="T48" s="1645"/>
      <c r="U48" s="1645"/>
      <c r="V48" s="1375"/>
      <c r="W48" s="1375"/>
      <c r="X48" s="1375"/>
      <c r="Y48" s="1375"/>
      <c r="Z48" s="1645"/>
      <c r="AA48" s="1375"/>
      <c r="AB48" s="1375"/>
      <c r="AC48" s="553"/>
      <c r="AD48" s="1375"/>
      <c r="AE48" s="1375"/>
      <c r="AF48" s="1375"/>
      <c r="AG48" s="1375"/>
      <c r="AH48" s="1375"/>
      <c r="AI48" s="1641"/>
      <c r="AJ48" s="631"/>
      <c r="AK48" s="631"/>
      <c r="AL48" s="631"/>
      <c r="AM48" s="631"/>
      <c r="AN48" s="1650">
        <v>11</v>
      </c>
    </row>
    <row s="1650" customFormat="1" customHeight="1" ht="11.549999999999999">
      <c r="A49" s="996"/>
      <c r="B49" s="996"/>
      <c r="C49" s="996"/>
      <c r="D49" s="996"/>
      <c r="E49" s="996"/>
      <c r="F49" s="1645"/>
      <c r="G49" s="1645"/>
      <c r="H49" s="360"/>
      <c r="N49" s="1650"/>
      <c r="O49" s="1650"/>
      <c r="P49" s="1650"/>
      <c r="Q49" s="1375"/>
      <c r="S49" s="1375"/>
      <c r="T49" s="1645"/>
      <c r="U49" s="1645"/>
      <c r="V49" s="1375"/>
      <c r="W49" s="1375"/>
      <c r="X49" s="1375"/>
      <c r="Y49" s="1375"/>
      <c r="Z49" s="1645"/>
      <c r="AA49" s="1375"/>
      <c r="AB49" s="1375"/>
      <c r="AC49" s="553"/>
      <c r="AD49" s="1375"/>
      <c r="AE49" s="1375"/>
      <c r="AF49" s="1375"/>
      <c r="AG49" s="1375"/>
      <c r="AH49" s="1375"/>
      <c r="AI49" s="1641"/>
      <c r="AJ49" s="631"/>
      <c r="AK49" s="631"/>
      <c r="AL49" s="631"/>
      <c r="AM49" s="631"/>
      <c r="AN49" s="1650">
        <v>11</v>
      </c>
    </row>
    <row s="1650" customFormat="1" customHeight="1" ht="11.549999999999999">
      <c r="A50" s="996"/>
      <c r="B50" s="996"/>
      <c r="C50" s="996"/>
      <c r="D50" s="996"/>
      <c r="E50" s="996"/>
      <c r="F50" s="1645"/>
      <c r="G50" s="1645"/>
      <c r="H50" s="360"/>
      <c r="N50" s="1650"/>
      <c r="O50" s="1650"/>
      <c r="P50" s="1650"/>
      <c r="Q50" s="1375"/>
      <c r="S50" s="1375"/>
      <c r="T50" s="1645"/>
      <c r="U50" s="1645"/>
      <c r="V50" s="1375"/>
      <c r="W50" s="1375"/>
      <c r="X50" s="1375"/>
      <c r="Y50" s="1375"/>
      <c r="Z50" s="1645"/>
      <c r="AA50" s="1375"/>
      <c r="AB50" s="1375"/>
      <c r="AC50" s="553"/>
      <c r="AD50" s="1375"/>
      <c r="AE50" s="1375"/>
      <c r="AF50" s="1375"/>
      <c r="AG50" s="1375"/>
      <c r="AH50" s="1375"/>
      <c r="AI50" s="1641"/>
      <c r="AJ50" s="631"/>
      <c r="AK50" s="631"/>
      <c r="AL50" s="631"/>
      <c r="AM50" s="631"/>
      <c r="AN50" s="1650">
        <v>11</v>
      </c>
    </row>
    <row s="1650" customFormat="1" customHeight="1" ht="11.549999999999999">
      <c r="A51" s="996"/>
      <c r="B51" s="996"/>
      <c r="C51" s="996"/>
      <c r="D51" s="996"/>
      <c r="E51" s="996"/>
      <c r="F51" s="1645"/>
      <c r="G51" s="1645"/>
      <c r="H51" s="360"/>
      <c r="N51" s="1650"/>
      <c r="O51" s="1650"/>
      <c r="P51" s="1650"/>
      <c r="Q51" s="1375"/>
      <c r="S51" s="1375"/>
      <c r="T51" s="1645"/>
      <c r="U51" s="1645"/>
      <c r="V51" s="1375"/>
      <c r="W51" s="1375"/>
      <c r="X51" s="1375"/>
      <c r="Y51" s="1375"/>
      <c r="Z51" s="1645"/>
      <c r="AA51" s="1375"/>
      <c r="AB51" s="1375"/>
      <c r="AC51" s="553"/>
      <c r="AD51" s="1375"/>
      <c r="AE51" s="1375"/>
      <c r="AF51" s="1375"/>
      <c r="AG51" s="1375"/>
      <c r="AH51" s="1375"/>
      <c r="AI51" s="1641"/>
      <c r="AJ51" s="631"/>
      <c r="AK51" s="631"/>
      <c r="AL51" s="631"/>
      <c r="AM51" s="631"/>
      <c r="AN51" s="1650">
        <v>11</v>
      </c>
    </row>
    <row s="1650" customFormat="1" customHeight="1" ht="11.549999999999999">
      <c r="A52" s="996"/>
      <c r="B52" s="996"/>
      <c r="C52" s="996"/>
      <c r="D52" s="996"/>
      <c r="E52" s="996"/>
      <c r="F52" s="1645"/>
      <c r="G52" s="1645"/>
      <c r="H52" s="360"/>
      <c r="N52" s="1650"/>
      <c r="O52" s="1650"/>
      <c r="P52" s="1650"/>
      <c r="Q52" s="1375"/>
      <c r="S52" s="1375"/>
      <c r="T52" s="1645"/>
      <c r="U52" s="1645"/>
      <c r="V52" s="1375"/>
      <c r="W52" s="1375"/>
      <c r="X52" s="1375"/>
      <c r="Y52" s="1375"/>
      <c r="Z52" s="1645"/>
      <c r="AA52" s="1375"/>
      <c r="AB52" s="1375"/>
      <c r="AC52" s="553"/>
      <c r="AD52" s="1375"/>
      <c r="AE52" s="1375"/>
      <c r="AF52" s="1375"/>
      <c r="AG52" s="1375"/>
      <c r="AH52" s="1375"/>
      <c r="AI52" s="1641"/>
      <c r="AJ52" s="631"/>
      <c r="AK52" s="631"/>
      <c r="AL52" s="631"/>
      <c r="AM52" s="631"/>
      <c r="AN52" s="1650">
        <v>11</v>
      </c>
    </row>
    <row s="1650" customFormat="1" customHeight="1" ht="11.549999999999999">
      <c r="A53" s="996"/>
      <c r="B53" s="996"/>
      <c r="C53" s="996"/>
      <c r="D53" s="996"/>
      <c r="E53" s="996"/>
      <c r="F53" s="1645"/>
      <c r="G53" s="1645"/>
      <c r="H53" s="360"/>
      <c r="N53" s="1650"/>
      <c r="O53" s="1650"/>
      <c r="P53" s="1650"/>
      <c r="Q53" s="1375"/>
      <c r="S53" s="1375"/>
      <c r="T53" s="1645"/>
      <c r="U53" s="1645"/>
      <c r="V53" s="1375"/>
      <c r="W53" s="1375"/>
      <c r="X53" s="1375"/>
      <c r="Y53" s="1375"/>
      <c r="Z53" s="1645"/>
      <c r="AA53" s="1375"/>
      <c r="AB53" s="1375"/>
      <c r="AC53" s="553"/>
      <c r="AD53" s="1375"/>
      <c r="AE53" s="1375"/>
      <c r="AF53" s="1375"/>
      <c r="AG53" s="1375"/>
      <c r="AH53" s="1375"/>
      <c r="AI53" s="1641"/>
      <c r="AJ53" s="631"/>
      <c r="AK53" s="631"/>
      <c r="AL53" s="631"/>
      <c r="AM53" s="631"/>
      <c r="AN53" s="1650">
        <v>11</v>
      </c>
    </row>
    <row s="1650" customFormat="1" customHeight="1" ht="11.549999999999999">
      <c r="A54" s="996"/>
      <c r="B54" s="996"/>
      <c r="C54" s="996"/>
      <c r="D54" s="996"/>
      <c r="E54" s="996"/>
      <c r="F54" s="1645"/>
      <c r="G54" s="1645"/>
      <c r="H54" s="360"/>
      <c r="N54" s="1650"/>
      <c r="O54" s="1650"/>
      <c r="P54" s="1650"/>
      <c r="Q54" s="1375"/>
      <c r="S54" s="1375"/>
      <c r="T54" s="1645"/>
      <c r="U54" s="1645"/>
      <c r="V54" s="1375"/>
      <c r="W54" s="1375"/>
      <c r="X54" s="1375"/>
      <c r="Y54" s="1375"/>
      <c r="Z54" s="1645"/>
      <c r="AA54" s="1375"/>
      <c r="AB54" s="1375"/>
      <c r="AC54" s="553"/>
      <c r="AD54" s="1375"/>
      <c r="AE54" s="1375"/>
      <c r="AF54" s="1375"/>
      <c r="AG54" s="1375"/>
      <c r="AH54" s="1375"/>
      <c r="AI54" s="1641"/>
      <c r="AJ54" s="631"/>
      <c r="AK54" s="631"/>
      <c r="AL54" s="631"/>
      <c r="AM54" s="631"/>
      <c r="AN54" s="1650">
        <v>11</v>
      </c>
    </row>
    <row s="1650" customFormat="1" customHeight="1" ht="11.549999999999999">
      <c r="A55" s="996"/>
      <c r="B55" s="996"/>
      <c r="C55" s="996"/>
      <c r="D55" s="996"/>
      <c r="E55" s="996"/>
      <c r="F55" s="1645"/>
      <c r="G55" s="1645"/>
      <c r="H55" s="360"/>
      <c r="N55" s="1650"/>
      <c r="O55" s="1650"/>
      <c r="P55" s="1650"/>
      <c r="Q55" s="1375"/>
      <c r="S55" s="1375"/>
      <c r="T55" s="1645"/>
      <c r="U55" s="1645"/>
      <c r="V55" s="1375"/>
      <c r="W55" s="1375"/>
      <c r="X55" s="1375"/>
      <c r="Y55" s="1375"/>
      <c r="Z55" s="1645"/>
      <c r="AA55" s="1375"/>
      <c r="AB55" s="1375"/>
      <c r="AC55" s="553"/>
      <c r="AD55" s="1375"/>
      <c r="AE55" s="1375"/>
      <c r="AF55" s="1375"/>
      <c r="AG55" s="1375"/>
      <c r="AH55" s="1375"/>
      <c r="AI55" s="1641"/>
      <c r="AJ55" s="631"/>
      <c r="AK55" s="631"/>
      <c r="AL55" s="631"/>
      <c r="AM55" s="631"/>
      <c r="AN55" s="1650">
        <v>11</v>
      </c>
    </row>
    <row s="1650" customFormat="1" customHeight="1" ht="11.549999999999999">
      <c r="A56" s="996"/>
      <c r="B56" s="996"/>
      <c r="C56" s="996"/>
      <c r="D56" s="996"/>
      <c r="E56" s="996"/>
      <c r="F56" s="1645"/>
      <c r="G56" s="1645"/>
      <c r="H56" s="360"/>
      <c r="N56" s="1650"/>
      <c r="O56" s="1650"/>
      <c r="P56" s="1650"/>
      <c r="Q56" s="1375"/>
      <c r="S56" s="1375"/>
      <c r="T56" s="1645"/>
      <c r="U56" s="1645"/>
      <c r="V56" s="1375"/>
      <c r="W56" s="1375"/>
      <c r="X56" s="1375"/>
      <c r="Y56" s="1375"/>
      <c r="Z56" s="1645"/>
      <c r="AA56" s="1375"/>
      <c r="AB56" s="1375"/>
      <c r="AC56" s="553"/>
      <c r="AD56" s="1375"/>
      <c r="AE56" s="1375"/>
      <c r="AF56" s="1375"/>
      <c r="AG56" s="1375"/>
      <c r="AH56" s="1375"/>
      <c r="AI56" s="1641"/>
      <c r="AJ56" s="631"/>
      <c r="AK56" s="631"/>
      <c r="AL56" s="631"/>
      <c r="AM56" s="631"/>
      <c r="AN56" s="1650">
        <v>11</v>
      </c>
    </row>
    <row s="1650" customFormat="1" customHeight="1" ht="11.549999999999999">
      <c r="A57" s="996"/>
      <c r="B57" s="996"/>
      <c r="C57" s="996"/>
      <c r="D57" s="996"/>
      <c r="E57" s="996"/>
      <c r="F57" s="1645"/>
      <c r="G57" s="1645"/>
      <c r="H57" s="360"/>
      <c r="N57" s="1650"/>
      <c r="O57" s="1650"/>
      <c r="P57" s="1650"/>
      <c r="Q57" s="1375"/>
      <c r="S57" s="1375"/>
      <c r="T57" s="1645"/>
      <c r="U57" s="1645"/>
      <c r="V57" s="1375"/>
      <c r="W57" s="1375"/>
      <c r="X57" s="1375"/>
      <c r="Y57" s="1375"/>
      <c r="Z57" s="1645"/>
      <c r="AA57" s="1375"/>
      <c r="AB57" s="1375"/>
      <c r="AC57" s="553"/>
      <c r="AD57" s="1375"/>
      <c r="AE57" s="1375"/>
      <c r="AF57" s="1375"/>
      <c r="AG57" s="1375"/>
      <c r="AH57" s="1375"/>
      <c r="AI57" s="1641"/>
      <c r="AJ57" s="631"/>
      <c r="AK57" s="631"/>
      <c r="AL57" s="631"/>
      <c r="AM57" s="631"/>
      <c r="AN57" s="1650">
        <v>11</v>
      </c>
    </row>
    <row s="1650" customFormat="1" customHeight="1" ht="11.549999999999999">
      <c r="A58" s="996"/>
      <c r="B58" s="996"/>
      <c r="C58" s="996"/>
      <c r="D58" s="996"/>
      <c r="E58" s="996"/>
      <c r="F58" s="1645"/>
      <c r="G58" s="1645"/>
      <c r="H58" s="360"/>
      <c r="N58" s="1650"/>
      <c r="O58" s="1650"/>
      <c r="P58" s="1650"/>
      <c r="Q58" s="1375"/>
      <c r="S58" s="1375"/>
      <c r="T58" s="1645"/>
      <c r="U58" s="1645"/>
      <c r="V58" s="1375"/>
      <c r="W58" s="1375"/>
      <c r="X58" s="1375"/>
      <c r="Y58" s="1375"/>
      <c r="Z58" s="1645"/>
      <c r="AA58" s="1375"/>
      <c r="AB58" s="1375"/>
      <c r="AC58" s="553"/>
      <c r="AD58" s="1375"/>
      <c r="AE58" s="1375"/>
      <c r="AF58" s="1375"/>
      <c r="AG58" s="1375"/>
      <c r="AH58" s="1375"/>
      <c r="AI58" s="1641"/>
      <c r="AJ58" s="631"/>
      <c r="AK58" s="631"/>
      <c r="AL58" s="631"/>
      <c r="AM58" s="631"/>
      <c r="AN58" s="1650">
        <v>11</v>
      </c>
    </row>
    <row s="1650" customFormat="1" customHeight="1" ht="11.549999999999999">
      <c r="A59" s="996"/>
      <c r="B59" s="996"/>
      <c r="C59" s="996"/>
      <c r="D59" s="996"/>
      <c r="E59" s="996"/>
      <c r="F59" s="1645"/>
      <c r="G59" s="1645"/>
      <c r="H59" s="360"/>
      <c r="N59" s="1650"/>
      <c r="O59" s="1650"/>
      <c r="P59" s="1650"/>
      <c r="Q59" s="1375"/>
      <c r="S59" s="1375"/>
      <c r="T59" s="1645"/>
      <c r="U59" s="1645"/>
      <c r="V59" s="1375"/>
      <c r="W59" s="1375"/>
      <c r="X59" s="1375"/>
      <c r="Y59" s="1375"/>
      <c r="Z59" s="1645"/>
      <c r="AA59" s="1375"/>
      <c r="AB59" s="1375"/>
      <c r="AC59" s="553"/>
      <c r="AD59" s="1375"/>
      <c r="AE59" s="1375"/>
      <c r="AF59" s="1375"/>
      <c r="AG59" s="1375"/>
      <c r="AH59" s="1375"/>
      <c r="AI59" s="1641"/>
      <c r="AJ59" s="631"/>
      <c r="AK59" s="631"/>
      <c r="AL59" s="631"/>
      <c r="AM59" s="631"/>
      <c r="AN59" s="1650">
        <v>11</v>
      </c>
    </row>
    <row s="1650" customFormat="1" customHeight="1" ht="11.549999999999999">
      <c r="A60" s="996"/>
      <c r="B60" s="996"/>
      <c r="C60" s="996"/>
      <c r="D60" s="996"/>
      <c r="E60" s="996"/>
      <c r="F60" s="1645"/>
      <c r="G60" s="1645"/>
      <c r="H60" s="360"/>
      <c r="N60" s="1650"/>
      <c r="O60" s="1650"/>
      <c r="P60" s="1650"/>
      <c r="Q60" s="1375"/>
      <c r="S60" s="1375"/>
      <c r="T60" s="1645"/>
      <c r="U60" s="1645"/>
      <c r="V60" s="1375"/>
      <c r="W60" s="1375"/>
      <c r="X60" s="1375"/>
      <c r="Y60" s="1375"/>
      <c r="Z60" s="1645"/>
      <c r="AA60" s="1375"/>
      <c r="AB60" s="1375"/>
      <c r="AC60" s="553"/>
      <c r="AD60" s="1375"/>
      <c r="AE60" s="1375"/>
      <c r="AF60" s="1375"/>
      <c r="AG60" s="1375"/>
      <c r="AH60" s="1375"/>
      <c r="AI60" s="1641"/>
      <c r="AJ60" s="631"/>
      <c r="AK60" s="631"/>
      <c r="AL60" s="631"/>
      <c r="AM60" s="631"/>
      <c r="AN60" s="1650">
        <v>11</v>
      </c>
    </row>
    <row s="1650" customFormat="1" customHeight="1" ht="11.549999999999999">
      <c r="A61" s="996"/>
      <c r="B61" s="996"/>
      <c r="C61" s="996"/>
      <c r="D61" s="996"/>
      <c r="E61" s="996"/>
      <c r="F61" s="1645"/>
      <c r="G61" s="1645"/>
      <c r="H61" s="360"/>
      <c r="N61" s="1650"/>
      <c r="O61" s="1650"/>
      <c r="P61" s="1650"/>
      <c r="Q61" s="1375"/>
      <c r="S61" s="1375"/>
      <c r="T61" s="1645"/>
      <c r="U61" s="1645"/>
      <c r="V61" s="1375"/>
      <c r="W61" s="1375"/>
      <c r="X61" s="1375"/>
      <c r="Y61" s="1375"/>
      <c r="Z61" s="1645"/>
      <c r="AA61" s="1375"/>
      <c r="AB61" s="1375"/>
      <c r="AC61" s="553"/>
      <c r="AD61" s="1375"/>
      <c r="AE61" s="1375"/>
      <c r="AF61" s="1375"/>
      <c r="AG61" s="1375"/>
      <c r="AH61" s="1375"/>
      <c r="AI61" s="1641"/>
      <c r="AJ61" s="631"/>
      <c r="AK61" s="631"/>
      <c r="AL61" s="631"/>
      <c r="AM61" s="631"/>
      <c r="AN61" s="1650">
        <v>11</v>
      </c>
    </row>
    <row s="1650" customFormat="1" customHeight="1" ht="11.549999999999999">
      <c r="A62" s="996"/>
      <c r="B62" s="996"/>
      <c r="C62" s="996"/>
      <c r="D62" s="996"/>
      <c r="E62" s="996"/>
      <c r="F62" s="1645"/>
      <c r="G62" s="1645"/>
      <c r="H62" s="360"/>
      <c r="N62" s="1650"/>
      <c r="O62" s="1650"/>
      <c r="P62" s="1650"/>
      <c r="Q62" s="1375"/>
      <c r="S62" s="1375"/>
      <c r="T62" s="1645"/>
      <c r="U62" s="1645"/>
      <c r="V62" s="1375"/>
      <c r="W62" s="1375"/>
      <c r="X62" s="1375"/>
      <c r="Y62" s="1375"/>
      <c r="Z62" s="1645"/>
      <c r="AA62" s="1375"/>
      <c r="AB62" s="1375"/>
      <c r="AC62" s="553"/>
      <c r="AD62" s="1375"/>
      <c r="AE62" s="1375"/>
      <c r="AF62" s="1375"/>
      <c r="AG62" s="1375"/>
      <c r="AH62" s="1375"/>
      <c r="AI62" s="1641"/>
      <c r="AJ62" s="631"/>
      <c r="AK62" s="631"/>
      <c r="AL62" s="631"/>
      <c r="AM62" s="631"/>
      <c r="AN62" s="1650">
        <v>11</v>
      </c>
    </row>
    <row s="1650" customFormat="1" customHeight="1" ht="11.549999999999999">
      <c r="A63" s="996"/>
      <c r="B63" s="996"/>
      <c r="C63" s="996"/>
      <c r="D63" s="996"/>
      <c r="E63" s="996"/>
      <c r="F63" s="1645"/>
      <c r="G63" s="1645"/>
      <c r="H63" s="360"/>
      <c r="N63" s="1650"/>
      <c r="O63" s="1650"/>
      <c r="P63" s="1650"/>
      <c r="Q63" s="1375"/>
      <c r="S63" s="1375"/>
      <c r="T63" s="1645"/>
      <c r="U63" s="1645"/>
      <c r="V63" s="1375"/>
      <c r="W63" s="1375"/>
      <c r="X63" s="1375"/>
      <c r="Y63" s="1375"/>
      <c r="Z63" s="1645"/>
      <c r="AA63" s="1375"/>
      <c r="AB63" s="1375"/>
      <c r="AC63" s="553"/>
      <c r="AD63" s="1375"/>
      <c r="AE63" s="1375"/>
      <c r="AF63" s="1375"/>
      <c r="AG63" s="1375"/>
      <c r="AH63" s="1375"/>
      <c r="AI63" s="1641"/>
      <c r="AJ63" s="631"/>
      <c r="AK63" s="631"/>
      <c r="AL63" s="631"/>
      <c r="AM63" s="631"/>
      <c r="AN63" s="1650">
        <v>11</v>
      </c>
    </row>
    <row s="1650" customFormat="1" customHeight="1" ht="11.549999999999999">
      <c r="A64" s="996"/>
      <c r="B64" s="996"/>
      <c r="C64" s="996"/>
      <c r="D64" s="996"/>
      <c r="E64" s="996"/>
      <c r="F64" s="1645"/>
      <c r="G64" s="1645"/>
      <c r="H64" s="360"/>
      <c r="N64" s="1650"/>
      <c r="O64" s="1650"/>
      <c r="P64" s="1650"/>
      <c r="Q64" s="1375"/>
      <c r="S64" s="1375"/>
      <c r="T64" s="1645"/>
      <c r="U64" s="1645"/>
      <c r="V64" s="1375"/>
      <c r="W64" s="1375"/>
      <c r="X64" s="1375"/>
      <c r="Y64" s="1375"/>
      <c r="Z64" s="1645"/>
      <c r="AA64" s="1375"/>
      <c r="AB64" s="1375"/>
      <c r="AC64" s="553"/>
      <c r="AD64" s="1375"/>
      <c r="AE64" s="1375"/>
      <c r="AF64" s="1375"/>
      <c r="AG64" s="1375"/>
      <c r="AH64" s="1375"/>
      <c r="AI64" s="1641"/>
      <c r="AJ64" s="631"/>
      <c r="AK64" s="631"/>
      <c r="AL64" s="631"/>
      <c r="AM64" s="631"/>
      <c r="AN64" s="1650">
        <v>11</v>
      </c>
    </row>
    <row s="1650" customFormat="1" customHeight="1" ht="11.549999999999999">
      <c r="A65" s="996"/>
      <c r="B65" s="996"/>
      <c r="C65" s="996"/>
      <c r="D65" s="996"/>
      <c r="E65" s="996"/>
      <c r="F65" s="1645"/>
      <c r="G65" s="1645"/>
      <c r="H65" s="360"/>
      <c r="N65" s="1650"/>
      <c r="O65" s="1650"/>
      <c r="P65" s="1650"/>
      <c r="Q65" s="1375"/>
      <c r="S65" s="1375"/>
      <c r="T65" s="1645"/>
      <c r="U65" s="1645"/>
      <c r="V65" s="1375"/>
      <c r="W65" s="1375"/>
      <c r="X65" s="1375"/>
      <c r="Y65" s="1375"/>
      <c r="Z65" s="1645"/>
      <c r="AA65" s="1375"/>
      <c r="AB65" s="1375"/>
      <c r="AC65" s="553"/>
      <c r="AD65" s="1375"/>
      <c r="AE65" s="1375"/>
      <c r="AF65" s="1375"/>
      <c r="AG65" s="1375"/>
      <c r="AH65" s="1375"/>
      <c r="AI65" s="1641"/>
      <c r="AJ65" s="631"/>
      <c r="AK65" s="631"/>
      <c r="AL65" s="631"/>
      <c r="AM65" s="631"/>
      <c r="AN65" s="1650">
        <v>11</v>
      </c>
    </row>
    <row s="1650" customFormat="1" customHeight="1" ht="11.549999999999999">
      <c r="A66" s="996"/>
      <c r="B66" s="996"/>
      <c r="C66" s="996"/>
      <c r="D66" s="996"/>
      <c r="E66" s="996"/>
      <c r="F66" s="1645"/>
      <c r="G66" s="1645"/>
      <c r="H66" s="360"/>
      <c r="N66" s="1650"/>
      <c r="O66" s="1650"/>
      <c r="P66" s="1650"/>
      <c r="Q66" s="1375"/>
      <c r="S66" s="1375"/>
      <c r="T66" s="1645"/>
      <c r="U66" s="1645"/>
      <c r="V66" s="1375"/>
      <c r="W66" s="1375"/>
      <c r="X66" s="1375"/>
      <c r="Y66" s="1375"/>
      <c r="Z66" s="1645"/>
      <c r="AA66" s="1375"/>
      <c r="AB66" s="1375"/>
      <c r="AC66" s="553"/>
      <c r="AD66" s="1375"/>
      <c r="AE66" s="1375"/>
      <c r="AF66" s="1375"/>
      <c r="AG66" s="1375"/>
      <c r="AH66" s="1375"/>
      <c r="AI66" s="1641"/>
      <c r="AJ66" s="631"/>
      <c r="AK66" s="631"/>
      <c r="AL66" s="631"/>
      <c r="AM66" s="631"/>
      <c r="AN66" s="1650">
        <v>11</v>
      </c>
    </row>
    <row s="1650" customFormat="1" customHeight="1" ht="11.549999999999999">
      <c r="A67" s="996"/>
      <c r="B67" s="996"/>
      <c r="C67" s="996"/>
      <c r="D67" s="996"/>
      <c r="E67" s="996"/>
      <c r="F67" s="1645"/>
      <c r="G67" s="1645"/>
      <c r="H67" s="360"/>
      <c r="N67" s="1650"/>
      <c r="O67" s="1650"/>
      <c r="P67" s="1650"/>
      <c r="Q67" s="1375"/>
      <c r="S67" s="1375"/>
      <c r="T67" s="1645"/>
      <c r="U67" s="1645"/>
      <c r="V67" s="1375"/>
      <c r="W67" s="1375"/>
      <c r="X67" s="1375"/>
      <c r="Y67" s="1375"/>
      <c r="Z67" s="1645"/>
      <c r="AA67" s="1375"/>
      <c r="AB67" s="1375"/>
      <c r="AC67" s="553"/>
      <c r="AD67" s="1375"/>
      <c r="AE67" s="1375"/>
      <c r="AF67" s="1375"/>
      <c r="AG67" s="1375"/>
      <c r="AH67" s="1375"/>
      <c r="AI67" s="1641"/>
      <c r="AJ67" s="631"/>
      <c r="AK67" s="631"/>
      <c r="AL67" s="631"/>
      <c r="AM67" s="631"/>
      <c r="AN67" s="1650">
        <v>11</v>
      </c>
    </row>
    <row s="1650" customFormat="1" customHeight="1" ht="11.549999999999999">
      <c r="A68" s="996"/>
      <c r="B68" s="996"/>
      <c r="C68" s="996"/>
      <c r="D68" s="996"/>
      <c r="E68" s="996"/>
      <c r="F68" s="1645"/>
      <c r="G68" s="1645"/>
      <c r="H68" s="360"/>
      <c r="N68" s="1650"/>
      <c r="O68" s="1650"/>
      <c r="P68" s="1650"/>
      <c r="Q68" s="1375"/>
      <c r="S68" s="1375"/>
      <c r="T68" s="1645"/>
      <c r="U68" s="1645"/>
      <c r="V68" s="1375"/>
      <c r="W68" s="1375"/>
      <c r="X68" s="1375"/>
      <c r="Y68" s="1375"/>
      <c r="Z68" s="1645"/>
      <c r="AA68" s="1375"/>
      <c r="AB68" s="1375"/>
      <c r="AC68" s="553"/>
      <c r="AD68" s="1375"/>
      <c r="AE68" s="1375"/>
      <c r="AF68" s="1375"/>
      <c r="AG68" s="1375"/>
      <c r="AH68" s="1375"/>
      <c r="AI68" s="1641"/>
      <c r="AJ68" s="631"/>
      <c r="AK68" s="631"/>
      <c r="AL68" s="631"/>
      <c r="AM68" s="631"/>
      <c r="AN68" s="1650">
        <v>11</v>
      </c>
    </row>
    <row s="1650" customFormat="1" customHeight="1" ht="11.549999999999999">
      <c r="A69" s="996"/>
      <c r="B69" s="996"/>
      <c r="C69" s="996"/>
      <c r="D69" s="996"/>
      <c r="E69" s="996"/>
      <c r="F69" s="1645"/>
      <c r="G69" s="1645"/>
      <c r="H69" s="360"/>
      <c r="N69" s="1650"/>
      <c r="O69" s="1650"/>
      <c r="P69" s="1650"/>
      <c r="Q69" s="1375"/>
      <c r="S69" s="1375"/>
      <c r="T69" s="1645"/>
      <c r="U69" s="1645"/>
      <c r="V69" s="1375"/>
      <c r="W69" s="1375"/>
      <c r="X69" s="1375"/>
      <c r="Y69" s="1375"/>
      <c r="Z69" s="1645"/>
      <c r="AA69" s="1375"/>
      <c r="AB69" s="1375"/>
      <c r="AC69" s="553"/>
      <c r="AD69" s="1375"/>
      <c r="AE69" s="1375"/>
      <c r="AF69" s="1375"/>
      <c r="AG69" s="1375"/>
      <c r="AH69" s="1375"/>
      <c r="AI69" s="1641"/>
      <c r="AJ69" s="631"/>
      <c r="AK69" s="631"/>
      <c r="AL69" s="631"/>
      <c r="AM69" s="631"/>
      <c r="AN69" s="1650">
        <v>11</v>
      </c>
    </row>
    <row s="1650" customFormat="1" customHeight="1" ht="11.549999999999999">
      <c r="A70" s="996"/>
      <c r="B70" s="996"/>
      <c r="C70" s="996"/>
      <c r="D70" s="996"/>
      <c r="E70" s="996"/>
      <c r="F70" s="1645"/>
      <c r="G70" s="1645"/>
      <c r="H70" s="360"/>
      <c r="N70" s="1650"/>
      <c r="O70" s="1650"/>
      <c r="P70" s="1650"/>
      <c r="Q70" s="1375"/>
      <c r="S70" s="1375"/>
      <c r="T70" s="1645"/>
      <c r="U70" s="1645"/>
      <c r="V70" s="1375"/>
      <c r="W70" s="1375"/>
      <c r="X70" s="1375"/>
      <c r="Y70" s="1375"/>
      <c r="Z70" s="1645"/>
      <c r="AA70" s="1375"/>
      <c r="AB70" s="1375"/>
      <c r="AC70" s="553"/>
      <c r="AD70" s="1375"/>
      <c r="AE70" s="1375"/>
      <c r="AF70" s="1375"/>
      <c r="AG70" s="1375"/>
      <c r="AH70" s="1375"/>
      <c r="AI70" s="1641"/>
      <c r="AJ70" s="631"/>
      <c r="AK70" s="631"/>
      <c r="AL70" s="631"/>
      <c r="AM70" s="631"/>
      <c r="AN70" s="1650">
        <v>11</v>
      </c>
    </row>
    <row s="1650" customFormat="1" customHeight="1" ht="11.549999999999999">
      <c r="A71" s="996"/>
      <c r="B71" s="996"/>
      <c r="C71" s="996"/>
      <c r="D71" s="996"/>
      <c r="E71" s="996"/>
      <c r="F71" s="1645"/>
      <c r="G71" s="1645"/>
      <c r="H71" s="360"/>
      <c r="N71" s="1650"/>
      <c r="O71" s="1650"/>
      <c r="P71" s="1650"/>
      <c r="Q71" s="1375"/>
      <c r="S71" s="1375"/>
      <c r="T71" s="1645"/>
      <c r="U71" s="1645"/>
      <c r="V71" s="1375"/>
      <c r="W71" s="1375"/>
      <c r="X71" s="1375"/>
      <c r="Y71" s="1375"/>
      <c r="Z71" s="1645"/>
      <c r="AA71" s="1375"/>
      <c r="AB71" s="1375"/>
      <c r="AC71" s="553"/>
      <c r="AD71" s="1375"/>
      <c r="AE71" s="1375"/>
      <c r="AF71" s="1375"/>
      <c r="AG71" s="1375"/>
      <c r="AH71" s="1375"/>
      <c r="AI71" s="1641"/>
      <c r="AJ71" s="631"/>
      <c r="AK71" s="631"/>
      <c r="AL71" s="631"/>
      <c r="AM71" s="631"/>
      <c r="AN71" s="1650">
        <v>11</v>
      </c>
    </row>
    <row s="1650" customFormat="1" customHeight="1" ht="11.549999999999999">
      <c r="A72" s="996"/>
      <c r="B72" s="996"/>
      <c r="C72" s="996"/>
      <c r="D72" s="996"/>
      <c r="E72" s="996"/>
      <c r="F72" s="1645"/>
      <c r="G72" s="1645"/>
      <c r="H72" s="360"/>
      <c r="N72" s="1650"/>
      <c r="O72" s="1650"/>
      <c r="P72" s="1650"/>
      <c r="Q72" s="1375"/>
      <c r="S72" s="1375"/>
      <c r="T72" s="1645"/>
      <c r="U72" s="1645"/>
      <c r="V72" s="1375"/>
      <c r="W72" s="1375"/>
      <c r="X72" s="1375"/>
      <c r="Y72" s="1375"/>
      <c r="Z72" s="1645"/>
      <c r="AA72" s="1375"/>
      <c r="AB72" s="1375"/>
      <c r="AC72" s="553"/>
      <c r="AD72" s="1375"/>
      <c r="AE72" s="1375"/>
      <c r="AF72" s="1375"/>
      <c r="AG72" s="1375"/>
      <c r="AH72" s="1375"/>
      <c r="AI72" s="1641"/>
      <c r="AJ72" s="631"/>
      <c r="AK72" s="631"/>
      <c r="AL72" s="631"/>
      <c r="AM72" s="631"/>
      <c r="AN72" s="1650">
        <v>11</v>
      </c>
    </row>
    <row s="1650" customFormat="1" customHeight="1" ht="11.549999999999999">
      <c r="A73" s="996"/>
      <c r="B73" s="996"/>
      <c r="C73" s="996"/>
      <c r="D73" s="996"/>
      <c r="E73" s="996"/>
      <c r="F73" s="1645"/>
      <c r="G73" s="1645"/>
      <c r="H73" s="360"/>
      <c r="N73" s="1650"/>
      <c r="O73" s="1650"/>
      <c r="P73" s="1650"/>
      <c r="Q73" s="1375"/>
      <c r="S73" s="1375"/>
      <c r="T73" s="1645"/>
      <c r="U73" s="1645"/>
      <c r="V73" s="1375"/>
      <c r="W73" s="1375"/>
      <c r="X73" s="1375"/>
      <c r="Y73" s="1375"/>
      <c r="Z73" s="1645"/>
      <c r="AA73" s="1375"/>
      <c r="AB73" s="1375"/>
      <c r="AC73" s="553"/>
      <c r="AD73" s="1375"/>
      <c r="AE73" s="1375"/>
      <c r="AF73" s="1375"/>
      <c r="AG73" s="1375"/>
      <c r="AH73" s="1375"/>
      <c r="AI73" s="1641"/>
      <c r="AJ73" s="631"/>
      <c r="AK73" s="631"/>
      <c r="AL73" s="631"/>
      <c r="AM73" s="631"/>
      <c r="AN73" s="1650">
        <v>11</v>
      </c>
    </row>
    <row s="1650" customFormat="1" customHeight="1" ht="11.549999999999999">
      <c r="A74" s="996"/>
      <c r="B74" s="996"/>
      <c r="C74" s="996"/>
      <c r="D74" s="996"/>
      <c r="E74" s="996"/>
      <c r="F74" s="1645"/>
      <c r="G74" s="1645"/>
      <c r="H74" s="360"/>
      <c r="N74" s="1650"/>
      <c r="O74" s="1650"/>
      <c r="P74" s="1650"/>
      <c r="Q74" s="1375"/>
      <c r="S74" s="1375"/>
      <c r="T74" s="1645"/>
      <c r="U74" s="1645"/>
      <c r="V74" s="1375"/>
      <c r="W74" s="1375"/>
      <c r="X74" s="1375"/>
      <c r="Y74" s="1375"/>
      <c r="Z74" s="1645"/>
      <c r="AA74" s="1375"/>
      <c r="AB74" s="1375"/>
      <c r="AC74" s="553"/>
      <c r="AD74" s="1375"/>
      <c r="AE74" s="1375"/>
      <c r="AF74" s="1375"/>
      <c r="AG74" s="1375"/>
      <c r="AH74" s="1375"/>
      <c r="AI74" s="1641"/>
      <c r="AJ74" s="631"/>
      <c r="AK74" s="631"/>
      <c r="AL74" s="631"/>
      <c r="AM74" s="631"/>
      <c r="AN74" s="1650">
        <v>11</v>
      </c>
    </row>
    <row s="1650" customFormat="1" customHeight="1" ht="11.549999999999999">
      <c r="A75" s="996"/>
      <c r="B75" s="996"/>
      <c r="C75" s="996"/>
      <c r="D75" s="996"/>
      <c r="E75" s="996"/>
      <c r="F75" s="1645"/>
      <c r="G75" s="1645"/>
      <c r="H75" s="360"/>
      <c r="N75" s="1650"/>
      <c r="O75" s="1650"/>
      <c r="P75" s="1650"/>
      <c r="Q75" s="1375"/>
      <c r="S75" s="1375"/>
      <c r="T75" s="1645"/>
      <c r="U75" s="1645"/>
      <c r="V75" s="1375"/>
      <c r="W75" s="1375"/>
      <c r="X75" s="1375"/>
      <c r="Y75" s="1375"/>
      <c r="Z75" s="1645"/>
      <c r="AA75" s="1375"/>
      <c r="AB75" s="1375"/>
      <c r="AC75" s="553"/>
      <c r="AD75" s="1375"/>
      <c r="AE75" s="1375"/>
      <c r="AF75" s="1375"/>
      <c r="AG75" s="1375"/>
      <c r="AH75" s="1375"/>
      <c r="AI75" s="1641"/>
      <c r="AJ75" s="631"/>
      <c r="AK75" s="631"/>
      <c r="AL75" s="631"/>
      <c r="AM75" s="631"/>
      <c r="AN75" s="1650">
        <v>11</v>
      </c>
    </row>
    <row s="1650" customFormat="1" customHeight="1" ht="11.549999999999999">
      <c r="A76" s="996"/>
      <c r="B76" s="996"/>
      <c r="C76" s="996"/>
      <c r="D76" s="996"/>
      <c r="E76" s="996"/>
      <c r="F76" s="1645"/>
      <c r="G76" s="1645"/>
      <c r="H76" s="360"/>
      <c r="N76" s="1650"/>
      <c r="O76" s="1650"/>
      <c r="P76" s="1650"/>
      <c r="Q76" s="1375"/>
      <c r="S76" s="1375"/>
      <c r="T76" s="1645"/>
      <c r="U76" s="1645"/>
      <c r="V76" s="1375"/>
      <c r="W76" s="1375"/>
      <c r="X76" s="1375"/>
      <c r="Y76" s="1375"/>
      <c r="Z76" s="1645"/>
      <c r="AA76" s="1375"/>
      <c r="AB76" s="1375"/>
      <c r="AC76" s="553"/>
      <c r="AD76" s="1375"/>
      <c r="AE76" s="1375"/>
      <c r="AF76" s="1375"/>
      <c r="AG76" s="1375"/>
      <c r="AH76" s="1375"/>
      <c r="AI76" s="1641"/>
      <c r="AJ76" s="631"/>
      <c r="AK76" s="631"/>
      <c r="AL76" s="631"/>
      <c r="AM76" s="631"/>
      <c r="AN76" s="1650">
        <v>11</v>
      </c>
    </row>
    <row s="1650" customFormat="1" customHeight="1" ht="11.549999999999999">
      <c r="A77" s="996"/>
      <c r="B77" s="996"/>
      <c r="C77" s="996"/>
      <c r="D77" s="996"/>
      <c r="E77" s="996"/>
      <c r="F77" s="1645"/>
      <c r="G77" s="1645"/>
      <c r="H77" s="360"/>
      <c r="N77" s="1650"/>
      <c r="O77" s="1650"/>
      <c r="P77" s="1650"/>
      <c r="Q77" s="1375"/>
      <c r="S77" s="1375"/>
      <c r="T77" s="1645"/>
      <c r="U77" s="1645"/>
      <c r="V77" s="1375"/>
      <c r="W77" s="1375"/>
      <c r="X77" s="1375"/>
      <c r="Y77" s="1375"/>
      <c r="Z77" s="1645"/>
      <c r="AA77" s="1375"/>
      <c r="AB77" s="1375"/>
      <c r="AC77" s="553"/>
      <c r="AD77" s="1375"/>
      <c r="AE77" s="1375"/>
      <c r="AF77" s="1375"/>
      <c r="AG77" s="1375"/>
      <c r="AH77" s="1375"/>
      <c r="AI77" s="1641"/>
      <c r="AJ77" s="631"/>
      <c r="AK77" s="631"/>
      <c r="AL77" s="631"/>
      <c r="AM77" s="631"/>
      <c r="AN77" s="1650">
        <v>11</v>
      </c>
    </row>
    <row s="1650" customFormat="1" customHeight="1" ht="11.549999999999999">
      <c r="A78" s="996"/>
      <c r="B78" s="996"/>
      <c r="C78" s="996"/>
      <c r="D78" s="996"/>
      <c r="E78" s="996"/>
      <c r="F78" s="1645"/>
      <c r="G78" s="1645"/>
      <c r="H78" s="360"/>
      <c r="N78" s="1650"/>
      <c r="O78" s="1650"/>
      <c r="P78" s="1650"/>
      <c r="Q78" s="1375"/>
      <c r="S78" s="1375"/>
      <c r="T78" s="1645"/>
      <c r="U78" s="1645"/>
      <c r="V78" s="1375"/>
      <c r="W78" s="1375"/>
      <c r="X78" s="1375"/>
      <c r="Y78" s="1375"/>
      <c r="Z78" s="1645"/>
      <c r="AA78" s="1375"/>
      <c r="AB78" s="1375"/>
      <c r="AC78" s="553"/>
      <c r="AD78" s="1375"/>
      <c r="AE78" s="1375"/>
      <c r="AF78" s="1375"/>
      <c r="AG78" s="1375"/>
      <c r="AH78" s="1375"/>
      <c r="AI78" s="1641"/>
      <c r="AJ78" s="631"/>
      <c r="AK78" s="631"/>
      <c r="AL78" s="631"/>
      <c r="AM78" s="631"/>
      <c r="AN78" s="1650">
        <v>11</v>
      </c>
    </row>
    <row s="1650" customFormat="1" customHeight="1" ht="11.549999999999999">
      <c r="A79" s="996"/>
      <c r="B79" s="996"/>
      <c r="C79" s="996"/>
      <c r="D79" s="996"/>
      <c r="E79" s="996"/>
      <c r="F79" s="1645"/>
      <c r="G79" s="1645"/>
      <c r="H79" s="360"/>
      <c r="N79" s="1650"/>
      <c r="O79" s="1650"/>
      <c r="P79" s="1650"/>
      <c r="Q79" s="1375"/>
      <c r="S79" s="1375"/>
      <c r="T79" s="1645"/>
      <c r="U79" s="1645"/>
      <c r="V79" s="1375"/>
      <c r="W79" s="1375"/>
      <c r="X79" s="1375"/>
      <c r="Y79" s="1375"/>
      <c r="Z79" s="1645"/>
      <c r="AA79" s="1375"/>
      <c r="AB79" s="1375"/>
      <c r="AC79" s="553"/>
      <c r="AD79" s="1375"/>
      <c r="AE79" s="1375"/>
      <c r="AF79" s="1375"/>
      <c r="AG79" s="1375"/>
      <c r="AH79" s="1375"/>
      <c r="AI79" s="1641"/>
      <c r="AJ79" s="631"/>
      <c r="AK79" s="631"/>
      <c r="AL79" s="631"/>
      <c r="AM79" s="631"/>
      <c r="AN79" s="1650">
        <v>11</v>
      </c>
    </row>
    <row s="1650" customFormat="1" customHeight="1" ht="11.549999999999999">
      <c r="A80" s="996"/>
      <c r="B80" s="996"/>
      <c r="C80" s="996"/>
      <c r="D80" s="996"/>
      <c r="E80" s="996"/>
      <c r="F80" s="1645"/>
      <c r="G80" s="1645"/>
      <c r="H80" s="360"/>
      <c r="N80" s="1650"/>
      <c r="O80" s="1650"/>
      <c r="P80" s="1650"/>
      <c r="Q80" s="1375"/>
      <c r="S80" s="1375"/>
      <c r="T80" s="1645"/>
      <c r="U80" s="1645"/>
      <c r="V80" s="1375"/>
      <c r="W80" s="1375"/>
      <c r="X80" s="1375"/>
      <c r="Y80" s="1375"/>
      <c r="Z80" s="1645"/>
      <c r="AA80" s="1375"/>
      <c r="AB80" s="1375"/>
      <c r="AC80" s="553"/>
      <c r="AD80" s="1375"/>
      <c r="AE80" s="1375"/>
      <c r="AF80" s="1375"/>
      <c r="AG80" s="1375"/>
      <c r="AH80" s="1375"/>
      <c r="AI80" s="1641"/>
      <c r="AJ80" s="631"/>
      <c r="AK80" s="631"/>
      <c r="AL80" s="631"/>
      <c r="AM80" s="631"/>
      <c r="AN80" s="1650">
        <v>11</v>
      </c>
    </row>
    <row s="1650" customFormat="1" customHeight="1" ht="11.549999999999999">
      <c r="A81" s="996"/>
      <c r="B81" s="996"/>
      <c r="C81" s="996"/>
      <c r="D81" s="996"/>
      <c r="E81" s="996"/>
      <c r="F81" s="1645"/>
      <c r="G81" s="1645"/>
      <c r="H81" s="360"/>
      <c r="N81" s="1650"/>
      <c r="O81" s="1650"/>
      <c r="P81" s="1650"/>
      <c r="Q81" s="1375"/>
      <c r="S81" s="1375"/>
      <c r="T81" s="1645"/>
      <c r="U81" s="1645"/>
      <c r="V81" s="1375"/>
      <c r="W81" s="1375"/>
      <c r="X81" s="1375"/>
      <c r="Y81" s="1375"/>
      <c r="Z81" s="1645"/>
      <c r="AA81" s="1375"/>
      <c r="AB81" s="1375"/>
      <c r="AC81" s="553"/>
      <c r="AD81" s="1375"/>
      <c r="AE81" s="1375"/>
      <c r="AF81" s="1375"/>
      <c r="AG81" s="1375"/>
      <c r="AH81" s="1375"/>
      <c r="AI81" s="1641"/>
      <c r="AJ81" s="631"/>
      <c r="AK81" s="631"/>
      <c r="AL81" s="631"/>
      <c r="AM81" s="631"/>
      <c r="AN81" s="1650">
        <v>11</v>
      </c>
    </row>
    <row s="1650" customFormat="1" customHeight="1" ht="11.549999999999999">
      <c r="A82" s="996"/>
      <c r="B82" s="996"/>
      <c r="C82" s="996"/>
      <c r="D82" s="996"/>
      <c r="E82" s="996"/>
      <c r="F82" s="1645"/>
      <c r="G82" s="1645"/>
      <c r="H82" s="360"/>
      <c r="N82" s="1650"/>
      <c r="O82" s="1650"/>
      <c r="P82" s="1650"/>
      <c r="Q82" s="1375"/>
      <c r="S82" s="1375"/>
      <c r="T82" s="1645"/>
      <c r="U82" s="1645"/>
      <c r="V82" s="1375"/>
      <c r="W82" s="1375"/>
      <c r="X82" s="1375"/>
      <c r="Y82" s="1375"/>
      <c r="Z82" s="1645"/>
      <c r="AA82" s="1375"/>
      <c r="AB82" s="1375"/>
      <c r="AC82" s="553"/>
      <c r="AD82" s="1375"/>
      <c r="AE82" s="1375"/>
      <c r="AF82" s="1375"/>
      <c r="AG82" s="1375"/>
      <c r="AH82" s="1375"/>
      <c r="AI82" s="1641"/>
      <c r="AJ82" s="631"/>
      <c r="AK82" s="631"/>
      <c r="AL82" s="631"/>
      <c r="AM82" s="631"/>
      <c r="AN82" s="1650">
        <v>11</v>
      </c>
    </row>
    <row s="1650" customFormat="1" customHeight="1" ht="11.549999999999999">
      <c r="A83" s="996"/>
      <c r="B83" s="996"/>
      <c r="C83" s="996"/>
      <c r="D83" s="996"/>
      <c r="E83" s="996"/>
      <c r="F83" s="1645"/>
      <c r="G83" s="1645"/>
      <c r="H83" s="360"/>
      <c r="N83" s="1650"/>
      <c r="O83" s="1650"/>
      <c r="P83" s="1650"/>
      <c r="Q83" s="1375"/>
      <c r="S83" s="1375"/>
      <c r="T83" s="1645"/>
      <c r="U83" s="1645"/>
      <c r="V83" s="1375"/>
      <c r="W83" s="1375"/>
      <c r="X83" s="1375"/>
      <c r="Y83" s="1375"/>
      <c r="Z83" s="1645"/>
      <c r="AA83" s="1375"/>
      <c r="AB83" s="1375"/>
      <c r="AC83" s="553"/>
      <c r="AD83" s="1375"/>
      <c r="AE83" s="1375"/>
      <c r="AF83" s="1375"/>
      <c r="AG83" s="1375"/>
      <c r="AH83" s="1375"/>
      <c r="AI83" s="1641"/>
      <c r="AJ83" s="631"/>
      <c r="AK83" s="631"/>
      <c r="AL83" s="631"/>
      <c r="AM83" s="631"/>
      <c r="AN83" s="1650">
        <v>11</v>
      </c>
    </row>
    <row s="1650" customFormat="1" customHeight="1" ht="11.549999999999999">
      <c r="A84" s="996"/>
      <c r="B84" s="996"/>
      <c r="C84" s="996"/>
      <c r="D84" s="996"/>
      <c r="E84" s="996"/>
      <c r="F84" s="1645"/>
      <c r="G84" s="1645"/>
      <c r="H84" s="360"/>
      <c r="N84" s="1650"/>
      <c r="O84" s="1650"/>
      <c r="P84" s="1650"/>
      <c r="Q84" s="1375"/>
      <c r="S84" s="1375"/>
      <c r="T84" s="1645"/>
      <c r="U84" s="1645"/>
      <c r="V84" s="1375"/>
      <c r="W84" s="1375"/>
      <c r="X84" s="1375"/>
      <c r="Y84" s="1375"/>
      <c r="Z84" s="1645"/>
      <c r="AA84" s="1375"/>
      <c r="AB84" s="1375"/>
      <c r="AC84" s="553"/>
      <c r="AD84" s="1375"/>
      <c r="AE84" s="1375"/>
      <c r="AF84" s="1375"/>
      <c r="AG84" s="1375"/>
      <c r="AH84" s="1375"/>
      <c r="AI84" s="1641"/>
      <c r="AJ84" s="631"/>
      <c r="AK84" s="631"/>
      <c r="AL84" s="631"/>
      <c r="AM84" s="631"/>
      <c r="AN84" s="1650">
        <v>11</v>
      </c>
    </row>
    <row s="1650" customFormat="1" customHeight="1" ht="11.549999999999999">
      <c r="A85" s="996"/>
      <c r="B85" s="996"/>
      <c r="C85" s="996"/>
      <c r="D85" s="996"/>
      <c r="E85" s="996"/>
      <c r="F85" s="1645"/>
      <c r="G85" s="1645"/>
      <c r="H85" s="360"/>
      <c r="N85" s="1650"/>
      <c r="O85" s="1650"/>
      <c r="P85" s="1650"/>
      <c r="Q85" s="1375"/>
      <c r="S85" s="1375"/>
      <c r="T85" s="1645"/>
      <c r="U85" s="1645"/>
      <c r="V85" s="1375"/>
      <c r="W85" s="1375"/>
      <c r="X85" s="1375"/>
      <c r="Y85" s="1375"/>
      <c r="Z85" s="1645"/>
      <c r="AA85" s="1375"/>
      <c r="AB85" s="1375"/>
      <c r="AC85" s="553"/>
      <c r="AD85" s="1375"/>
      <c r="AE85" s="1375"/>
      <c r="AF85" s="1375"/>
      <c r="AG85" s="1375"/>
      <c r="AH85" s="1375"/>
      <c r="AI85" s="1641"/>
      <c r="AJ85" s="631"/>
      <c r="AK85" s="631"/>
      <c r="AL85" s="631"/>
      <c r="AM85" s="631"/>
      <c r="AN85" s="1650">
        <v>11</v>
      </c>
    </row>
    <row s="1650" customFormat="1" customHeight="1" ht="11.549999999999999">
      <c r="A86" s="996"/>
      <c r="B86" s="996"/>
      <c r="C86" s="996"/>
      <c r="D86" s="996"/>
      <c r="E86" s="996"/>
      <c r="F86" s="1645"/>
      <c r="G86" s="1645"/>
      <c r="H86" s="360"/>
      <c r="N86" s="1650"/>
      <c r="O86" s="1650"/>
      <c r="P86" s="1650"/>
      <c r="Q86" s="1375"/>
      <c r="S86" s="1375"/>
      <c r="T86" s="1645"/>
      <c r="U86" s="1645"/>
      <c r="V86" s="1375"/>
      <c r="W86" s="1375"/>
      <c r="X86" s="1375"/>
      <c r="Y86" s="1375"/>
      <c r="Z86" s="1645"/>
      <c r="AA86" s="1375"/>
      <c r="AB86" s="1375"/>
      <c r="AC86" s="553"/>
      <c r="AD86" s="1375"/>
      <c r="AE86" s="1375"/>
      <c r="AF86" s="1375"/>
      <c r="AG86" s="1375"/>
      <c r="AH86" s="1375"/>
      <c r="AI86" s="1641"/>
      <c r="AJ86" s="631"/>
      <c r="AK86" s="631"/>
      <c r="AL86" s="631"/>
      <c r="AM86" s="631"/>
      <c r="AN86" s="1650">
        <v>11</v>
      </c>
    </row>
    <row s="1650" customFormat="1" customHeight="1" ht="11.549999999999999">
      <c r="A87" s="996"/>
      <c r="B87" s="996"/>
      <c r="C87" s="996"/>
      <c r="D87" s="996"/>
      <c r="E87" s="996"/>
      <c r="F87" s="1645"/>
      <c r="G87" s="1645"/>
      <c r="H87" s="360"/>
      <c r="N87" s="1650"/>
      <c r="O87" s="1650"/>
      <c r="P87" s="1650"/>
      <c r="Q87" s="1375"/>
      <c r="S87" s="1375"/>
      <c r="T87" s="1645"/>
      <c r="U87" s="1645"/>
      <c r="V87" s="1375"/>
      <c r="W87" s="1375"/>
      <c r="X87" s="1375"/>
      <c r="Y87" s="1375"/>
      <c r="Z87" s="1645"/>
      <c r="AA87" s="1375"/>
      <c r="AB87" s="1375"/>
      <c r="AC87" s="553"/>
      <c r="AD87" s="1375"/>
      <c r="AE87" s="1375"/>
      <c r="AF87" s="1375"/>
      <c r="AG87" s="1375"/>
      <c r="AH87" s="1375"/>
      <c r="AI87" s="1641"/>
      <c r="AJ87" s="631"/>
      <c r="AK87" s="631"/>
      <c r="AL87" s="631"/>
      <c r="AM87" s="631"/>
      <c r="AN87" s="1650">
        <v>11</v>
      </c>
    </row>
    <row s="1650" customFormat="1" customHeight="1" ht="11.549999999999999">
      <c r="A88" s="996"/>
      <c r="B88" s="996"/>
      <c r="C88" s="996"/>
      <c r="D88" s="996"/>
      <c r="E88" s="996"/>
      <c r="F88" s="1645"/>
      <c r="G88" s="1645"/>
      <c r="H88" s="360"/>
      <c r="N88" s="1650"/>
      <c r="O88" s="1650"/>
      <c r="P88" s="1650"/>
      <c r="Q88" s="1375"/>
      <c r="S88" s="1375"/>
      <c r="T88" s="1645"/>
      <c r="U88" s="1645"/>
      <c r="V88" s="1375"/>
      <c r="W88" s="1375"/>
      <c r="X88" s="1375"/>
      <c r="Y88" s="1375"/>
      <c r="Z88" s="1645"/>
      <c r="AA88" s="1375"/>
      <c r="AB88" s="1375"/>
      <c r="AC88" s="553"/>
      <c r="AD88" s="1375"/>
      <c r="AE88" s="1375"/>
      <c r="AF88" s="1375"/>
      <c r="AG88" s="1375"/>
      <c r="AH88" s="1375"/>
      <c r="AI88" s="1641"/>
      <c r="AJ88" s="631"/>
      <c r="AK88" s="631"/>
      <c r="AL88" s="631"/>
      <c r="AM88" s="631"/>
      <c r="AN88" s="1650">
        <v>11</v>
      </c>
    </row>
    <row s="1650" customFormat="1" customHeight="1" ht="11.549999999999999">
      <c r="A89" s="996"/>
      <c r="B89" s="996"/>
      <c r="C89" s="996"/>
      <c r="D89" s="996"/>
      <c r="E89" s="996"/>
      <c r="F89" s="1645"/>
      <c r="G89" s="1645"/>
      <c r="H89" s="360"/>
      <c r="N89" s="1650"/>
      <c r="O89" s="1650"/>
      <c r="P89" s="1650"/>
      <c r="Q89" s="1375"/>
      <c r="S89" s="1375"/>
      <c r="T89" s="1645"/>
      <c r="U89" s="1645"/>
      <c r="V89" s="1375"/>
      <c r="W89" s="1375"/>
      <c r="X89" s="1375"/>
      <c r="Y89" s="1375"/>
      <c r="Z89" s="1645"/>
      <c r="AA89" s="1375"/>
      <c r="AB89" s="1375"/>
      <c r="AC89" s="553"/>
      <c r="AD89" s="1375"/>
      <c r="AE89" s="1375"/>
      <c r="AF89" s="1375"/>
      <c r="AG89" s="1375"/>
      <c r="AH89" s="1375"/>
      <c r="AI89" s="1641"/>
      <c r="AJ89" s="631"/>
      <c r="AK89" s="631"/>
      <c r="AL89" s="631"/>
      <c r="AM89" s="631"/>
      <c r="AN89" s="1650">
        <v>11</v>
      </c>
    </row>
    <row s="1650" customFormat="1" customHeight="1" ht="11.549999999999999">
      <c r="A90" s="996"/>
      <c r="B90" s="996"/>
      <c r="C90" s="996"/>
      <c r="D90" s="996"/>
      <c r="E90" s="996"/>
      <c r="F90" s="1645"/>
      <c r="G90" s="1645"/>
      <c r="H90" s="360"/>
      <c r="N90" s="1650"/>
      <c r="O90" s="1650"/>
      <c r="P90" s="1650"/>
      <c r="Q90" s="1375"/>
      <c r="S90" s="1375"/>
      <c r="T90" s="1645"/>
      <c r="U90" s="1645"/>
      <c r="V90" s="1375"/>
      <c r="W90" s="1375"/>
      <c r="X90" s="1375"/>
      <c r="Y90" s="1375"/>
      <c r="Z90" s="1645"/>
      <c r="AA90" s="1375"/>
      <c r="AB90" s="1375"/>
      <c r="AC90" s="553"/>
      <c r="AD90" s="1375"/>
      <c r="AE90" s="1375"/>
      <c r="AF90" s="1375"/>
      <c r="AG90" s="1375"/>
      <c r="AH90" s="1375"/>
      <c r="AI90" s="1641"/>
      <c r="AJ90" s="631"/>
      <c r="AK90" s="631"/>
      <c r="AL90" s="631"/>
      <c r="AM90" s="631"/>
      <c r="AN90" s="1650">
        <v>11</v>
      </c>
    </row>
    <row s="1650" customFormat="1" customHeight="1" ht="11.549999999999999">
      <c r="A91" s="996"/>
      <c r="B91" s="996"/>
      <c r="C91" s="996"/>
      <c r="D91" s="996"/>
      <c r="E91" s="996"/>
      <c r="F91" s="1645"/>
      <c r="G91" s="1645"/>
      <c r="H91" s="360"/>
      <c r="N91" s="1650"/>
      <c r="O91" s="1650"/>
      <c r="P91" s="1650"/>
      <c r="Q91" s="1375"/>
      <c r="S91" s="1375"/>
      <c r="T91" s="1645"/>
      <c r="U91" s="1645"/>
      <c r="V91" s="1375"/>
      <c r="W91" s="1375"/>
      <c r="X91" s="1375"/>
      <c r="Y91" s="1375"/>
      <c r="Z91" s="1645"/>
      <c r="AA91" s="1375"/>
      <c r="AB91" s="1375"/>
      <c r="AC91" s="553"/>
      <c r="AD91" s="1375"/>
      <c r="AE91" s="1375"/>
      <c r="AF91" s="1375"/>
      <c r="AG91" s="1375"/>
      <c r="AH91" s="1375"/>
      <c r="AI91" s="1641"/>
      <c r="AJ91" s="631"/>
      <c r="AK91" s="631"/>
      <c r="AL91" s="631"/>
      <c r="AM91" s="631"/>
      <c r="AN91" s="1650">
        <v>11</v>
      </c>
    </row>
    <row s="1650" customFormat="1" customHeight="1" ht="11.549999999999999">
      <c r="A92" s="996"/>
      <c r="B92" s="996"/>
      <c r="C92" s="996"/>
      <c r="D92" s="996"/>
      <c r="E92" s="996"/>
      <c r="F92" s="1645"/>
      <c r="G92" s="1645"/>
      <c r="H92" s="360"/>
      <c r="N92" s="1650"/>
      <c r="O92" s="1650"/>
      <c r="P92" s="1650"/>
      <c r="Q92" s="1375"/>
      <c r="S92" s="1375"/>
      <c r="T92" s="1645"/>
      <c r="U92" s="1645"/>
      <c r="V92" s="1375"/>
      <c r="W92" s="1375"/>
      <c r="X92" s="1375"/>
      <c r="Y92" s="1375"/>
      <c r="Z92" s="1645"/>
      <c r="AA92" s="1375"/>
      <c r="AB92" s="1375"/>
      <c r="AC92" s="553"/>
      <c r="AD92" s="1375"/>
      <c r="AE92" s="1375"/>
      <c r="AF92" s="1375"/>
      <c r="AG92" s="1375"/>
      <c r="AH92" s="1375"/>
      <c r="AI92" s="1641"/>
      <c r="AJ92" s="631"/>
      <c r="AK92" s="631"/>
      <c r="AL92" s="631"/>
      <c r="AM92" s="631"/>
      <c r="AN92" s="1650">
        <v>11</v>
      </c>
    </row>
    <row s="1650" customFormat="1" customHeight="1" ht="11.549999999999999">
      <c r="A93" s="996"/>
      <c r="B93" s="996"/>
      <c r="C93" s="996"/>
      <c r="D93" s="996"/>
      <c r="E93" s="996"/>
      <c r="F93" s="1645"/>
      <c r="G93" s="1645"/>
      <c r="H93" s="360"/>
      <c r="N93" s="1650"/>
      <c r="O93" s="1650"/>
      <c r="P93" s="1650"/>
      <c r="Q93" s="1375"/>
      <c r="S93" s="1375"/>
      <c r="T93" s="1645"/>
      <c r="U93" s="1645"/>
      <c r="V93" s="1375"/>
      <c r="W93" s="1375"/>
      <c r="X93" s="1375"/>
      <c r="Y93" s="1375"/>
      <c r="Z93" s="1645"/>
      <c r="AA93" s="1375"/>
      <c r="AB93" s="1375"/>
      <c r="AC93" s="553"/>
      <c r="AD93" s="1375"/>
      <c r="AE93" s="1375"/>
      <c r="AF93" s="1375"/>
      <c r="AG93" s="1375"/>
      <c r="AH93" s="1375"/>
      <c r="AI93" s="1641"/>
      <c r="AJ93" s="631"/>
      <c r="AK93" s="631"/>
      <c r="AL93" s="631"/>
      <c r="AM93" s="631"/>
      <c r="AN93" s="1650">
        <v>11</v>
      </c>
    </row>
    <row s="1650" customFormat="1" customHeight="1" ht="11.549999999999999">
      <c r="A94" s="996"/>
      <c r="B94" s="996"/>
      <c r="C94" s="996"/>
      <c r="D94" s="996"/>
      <c r="E94" s="996"/>
      <c r="F94" s="1645"/>
      <c r="G94" s="1645"/>
      <c r="H94" s="360"/>
      <c r="N94" s="1650"/>
      <c r="O94" s="1650"/>
      <c r="P94" s="1650"/>
      <c r="Q94" s="1375"/>
      <c r="S94" s="1375"/>
      <c r="T94" s="1645"/>
      <c r="U94" s="1645"/>
      <c r="V94" s="1375"/>
      <c r="W94" s="1375"/>
      <c r="X94" s="1375"/>
      <c r="Y94" s="1375"/>
      <c r="Z94" s="1645"/>
      <c r="AA94" s="1375"/>
      <c r="AB94" s="1375"/>
      <c r="AC94" s="553"/>
      <c r="AD94" s="1375"/>
      <c r="AE94" s="1375"/>
      <c r="AF94" s="1375"/>
      <c r="AG94" s="1375"/>
      <c r="AH94" s="1375"/>
      <c r="AI94" s="1641"/>
      <c r="AJ94" s="631"/>
      <c r="AK94" s="631"/>
      <c r="AL94" s="631"/>
      <c r="AM94" s="631"/>
      <c r="AN94" s="1650">
        <v>11</v>
      </c>
    </row>
    <row s="1650" customFormat="1" customHeight="1" ht="11.549999999999999">
      <c r="A95" s="996"/>
      <c r="B95" s="996"/>
      <c r="C95" s="996"/>
      <c r="D95" s="996"/>
      <c r="E95" s="996"/>
      <c r="F95" s="1645"/>
      <c r="G95" s="1645"/>
      <c r="H95" s="360"/>
      <c r="N95" s="1650"/>
      <c r="O95" s="1650"/>
      <c r="P95" s="1650"/>
      <c r="Q95" s="1375"/>
      <c r="S95" s="1375"/>
      <c r="T95" s="1645"/>
      <c r="U95" s="1645"/>
      <c r="V95" s="1375"/>
      <c r="W95" s="1375"/>
      <c r="X95" s="1375"/>
      <c r="Y95" s="1375"/>
      <c r="Z95" s="1645"/>
      <c r="AA95" s="1375"/>
      <c r="AB95" s="1375"/>
      <c r="AC95" s="553"/>
      <c r="AD95" s="1375"/>
      <c r="AE95" s="1375"/>
      <c r="AF95" s="1375"/>
      <c r="AG95" s="1375"/>
      <c r="AH95" s="1375"/>
      <c r="AI95" s="1641"/>
      <c r="AJ95" s="631"/>
      <c r="AK95" s="631"/>
      <c r="AL95" s="631"/>
      <c r="AM95" s="631"/>
      <c r="AN95" s="1650">
        <v>11</v>
      </c>
    </row>
    <row s="1650" customFormat="1" customHeight="1" ht="11.549999999999999">
      <c r="A96" s="996"/>
      <c r="B96" s="996"/>
      <c r="C96" s="996"/>
      <c r="D96" s="996"/>
      <c r="E96" s="996"/>
      <c r="F96" s="1645"/>
      <c r="G96" s="1645"/>
      <c r="H96" s="360"/>
      <c r="N96" s="1650"/>
      <c r="O96" s="1650"/>
      <c r="P96" s="1650"/>
      <c r="Q96" s="1375"/>
      <c r="S96" s="1375"/>
      <c r="T96" s="1645"/>
      <c r="U96" s="1645"/>
      <c r="V96" s="1375"/>
      <c r="W96" s="1375"/>
      <c r="X96" s="1375"/>
      <c r="Y96" s="1375"/>
      <c r="Z96" s="1645"/>
      <c r="AA96" s="1375"/>
      <c r="AB96" s="1375"/>
      <c r="AC96" s="553"/>
      <c r="AD96" s="1375"/>
      <c r="AE96" s="1375"/>
      <c r="AF96" s="1375"/>
      <c r="AG96" s="1375"/>
      <c r="AH96" s="1375"/>
      <c r="AI96" s="1641"/>
      <c r="AJ96" s="631"/>
      <c r="AK96" s="631"/>
      <c r="AL96" s="631"/>
      <c r="AM96" s="631"/>
      <c r="AN96" s="1650">
        <v>11</v>
      </c>
    </row>
    <row s="1650" customFormat="1" customHeight="1" ht="11.549999999999999">
      <c r="A97" s="996"/>
      <c r="B97" s="996"/>
      <c r="C97" s="996"/>
      <c r="D97" s="996"/>
      <c r="E97" s="996"/>
      <c r="F97" s="1645"/>
      <c r="G97" s="1645"/>
      <c r="H97" s="360"/>
      <c r="N97" s="1650"/>
      <c r="O97" s="1650"/>
      <c r="P97" s="1650"/>
      <c r="Q97" s="1375"/>
      <c r="S97" s="1375"/>
      <c r="T97" s="1645"/>
      <c r="U97" s="1645"/>
      <c r="V97" s="1375"/>
      <c r="W97" s="1375"/>
      <c r="X97" s="1375"/>
      <c r="Y97" s="1375"/>
      <c r="Z97" s="1645"/>
      <c r="AA97" s="1375"/>
      <c r="AB97" s="1375"/>
      <c r="AC97" s="553"/>
      <c r="AD97" s="1375"/>
      <c r="AE97" s="1375"/>
      <c r="AF97" s="1375"/>
      <c r="AG97" s="1375"/>
      <c r="AH97" s="1375"/>
      <c r="AI97" s="1641"/>
      <c r="AJ97" s="631"/>
      <c r="AK97" s="631"/>
      <c r="AL97" s="631"/>
      <c r="AM97" s="631"/>
      <c r="AN97" s="1650">
        <v>11</v>
      </c>
    </row>
    <row s="1650" customFormat="1" customHeight="1" ht="11.549999999999999">
      <c r="A98" s="996"/>
      <c r="B98" s="996"/>
      <c r="C98" s="996"/>
      <c r="D98" s="996"/>
      <c r="E98" s="996"/>
      <c r="F98" s="1645"/>
      <c r="G98" s="1645"/>
      <c r="H98" s="360"/>
      <c r="N98" s="1650"/>
      <c r="O98" s="1650"/>
      <c r="P98" s="1650"/>
      <c r="Q98" s="1375"/>
      <c r="S98" s="1375"/>
      <c r="T98" s="1645"/>
      <c r="U98" s="1645"/>
      <c r="V98" s="1375"/>
      <c r="W98" s="1375"/>
      <c r="X98" s="1375"/>
      <c r="Y98" s="1375"/>
      <c r="Z98" s="1645"/>
      <c r="AA98" s="1375"/>
      <c r="AB98" s="1375"/>
      <c r="AC98" s="553"/>
      <c r="AD98" s="1375"/>
      <c r="AE98" s="1375"/>
      <c r="AF98" s="1375"/>
      <c r="AG98" s="1375"/>
      <c r="AH98" s="1375"/>
      <c r="AI98" s="1641"/>
      <c r="AJ98" s="631"/>
      <c r="AK98" s="631"/>
      <c r="AL98" s="631"/>
      <c r="AM98" s="631"/>
      <c r="AN98" s="1650">
        <v>11</v>
      </c>
    </row>
    <row s="1650" customFormat="1" customHeight="1" ht="11.549999999999999">
      <c r="A99" s="996"/>
      <c r="B99" s="996"/>
      <c r="C99" s="996"/>
      <c r="D99" s="996"/>
      <c r="E99" s="996"/>
      <c r="F99" s="1645"/>
      <c r="G99" s="1645"/>
      <c r="H99" s="360"/>
      <c r="N99" s="1650"/>
      <c r="O99" s="1650"/>
      <c r="P99" s="1650"/>
      <c r="Q99" s="1375"/>
      <c r="S99" s="1375"/>
      <c r="T99" s="1645"/>
      <c r="U99" s="1645"/>
      <c r="V99" s="1375"/>
      <c r="W99" s="1375"/>
      <c r="X99" s="1375"/>
      <c r="Y99" s="1375"/>
      <c r="Z99" s="1645"/>
      <c r="AA99" s="1375"/>
      <c r="AB99" s="1375"/>
      <c r="AC99" s="553"/>
      <c r="AD99" s="1375"/>
      <c r="AE99" s="1375"/>
      <c r="AF99" s="1375"/>
      <c r="AG99" s="1375"/>
      <c r="AH99" s="1375"/>
      <c r="AI99" s="1641"/>
      <c r="AJ99" s="631"/>
      <c r="AK99" s="631"/>
      <c r="AL99" s="631"/>
      <c r="AM99" s="631"/>
      <c r="AN99" s="1650">
        <v>11</v>
      </c>
    </row>
    <row s="1650" customFormat="1" customHeight="1" ht="11.549999999999999">
      <c r="A100" s="996"/>
      <c r="B100" s="996"/>
      <c r="C100" s="996"/>
      <c r="D100" s="996"/>
      <c r="E100" s="996"/>
      <c r="F100" s="1645"/>
      <c r="G100" s="1645"/>
      <c r="H100" s="360"/>
      <c r="N100" s="1650"/>
      <c r="O100" s="1650"/>
      <c r="P100" s="1650"/>
      <c r="Q100" s="1375"/>
      <c r="S100" s="1375"/>
      <c r="T100" s="1645"/>
      <c r="U100" s="1645"/>
      <c r="V100" s="1375"/>
      <c r="W100" s="1375"/>
      <c r="X100" s="1375"/>
      <c r="Y100" s="1375"/>
      <c r="Z100" s="1645"/>
      <c r="AA100" s="1375"/>
      <c r="AB100" s="1375"/>
      <c r="AC100" s="553"/>
      <c r="AD100" s="1375"/>
      <c r="AE100" s="1375"/>
      <c r="AF100" s="1375"/>
      <c r="AG100" s="1375"/>
      <c r="AH100" s="1375"/>
      <c r="AI100" s="1641"/>
      <c r="AJ100" s="631"/>
      <c r="AK100" s="631"/>
      <c r="AL100" s="631"/>
      <c r="AM100" s="631"/>
      <c r="AN100" s="1650">
        <v>11</v>
      </c>
    </row>
    <row s="1650" customFormat="1" customHeight="1" ht="11.549999999999999">
      <c r="A101" s="996"/>
      <c r="B101" s="996"/>
      <c r="C101" s="996"/>
      <c r="D101" s="996"/>
      <c r="E101" s="996"/>
      <c r="F101" s="1645"/>
      <c r="G101" s="1645"/>
      <c r="H101" s="360"/>
      <c r="N101" s="1650"/>
      <c r="O101" s="1650"/>
      <c r="P101" s="1650"/>
      <c r="Q101" s="1375"/>
      <c r="S101" s="1375"/>
      <c r="T101" s="1645"/>
      <c r="U101" s="1645"/>
      <c r="V101" s="1375"/>
      <c r="W101" s="1375"/>
      <c r="X101" s="1375"/>
      <c r="Y101" s="1375"/>
      <c r="Z101" s="1645"/>
      <c r="AA101" s="1375"/>
      <c r="AB101" s="1375"/>
      <c r="AC101" s="553"/>
      <c r="AD101" s="1375"/>
      <c r="AE101" s="1375"/>
      <c r="AF101" s="1375"/>
      <c r="AG101" s="1375"/>
      <c r="AH101" s="1375"/>
      <c r="AI101" s="1641"/>
      <c r="AJ101" s="631"/>
      <c r="AK101" s="631"/>
      <c r="AL101" s="631"/>
      <c r="AM101" s="631"/>
      <c r="AN101" s="1650">
        <v>11</v>
      </c>
    </row>
    <row s="1650" customFormat="1" customHeight="1" ht="11.549999999999999">
      <c r="A102" s="996"/>
      <c r="B102" s="996"/>
      <c r="C102" s="996"/>
      <c r="D102" s="996"/>
      <c r="E102" s="996"/>
      <c r="F102" s="1645"/>
      <c r="G102" s="1645"/>
      <c r="H102" s="360"/>
      <c r="N102" s="1650"/>
      <c r="O102" s="1650"/>
      <c r="P102" s="1650"/>
      <c r="Q102" s="1375"/>
      <c r="S102" s="1375"/>
      <c r="T102" s="1645"/>
      <c r="U102" s="1645"/>
      <c r="V102" s="1375"/>
      <c r="W102" s="1375"/>
      <c r="X102" s="1375"/>
      <c r="Y102" s="1375"/>
      <c r="Z102" s="1645"/>
      <c r="AA102" s="1375"/>
      <c r="AB102" s="1375"/>
      <c r="AC102" s="553"/>
      <c r="AD102" s="1375"/>
      <c r="AE102" s="1375"/>
      <c r="AF102" s="1375"/>
      <c r="AG102" s="1375"/>
      <c r="AH102" s="1375"/>
      <c r="AI102" s="1641"/>
      <c r="AJ102" s="631"/>
      <c r="AK102" s="631"/>
      <c r="AL102" s="631"/>
      <c r="AM102" s="631"/>
      <c r="AN102" s="1650">
        <v>11</v>
      </c>
    </row>
    <row s="1650" customFormat="1" customHeight="1" ht="11.549999999999999">
      <c r="A103" s="996"/>
      <c r="B103" s="996"/>
      <c r="C103" s="996"/>
      <c r="D103" s="996"/>
      <c r="E103" s="996"/>
      <c r="F103" s="1645"/>
      <c r="G103" s="1645"/>
      <c r="H103" s="360"/>
      <c r="N103" s="1650"/>
      <c r="O103" s="1650"/>
      <c r="P103" s="1650"/>
      <c r="Q103" s="1375"/>
      <c r="S103" s="1375"/>
      <c r="T103" s="1645"/>
      <c r="U103" s="1645"/>
      <c r="V103" s="1375"/>
      <c r="W103" s="1375"/>
      <c r="X103" s="1375"/>
      <c r="Y103" s="1375"/>
      <c r="Z103" s="1645"/>
      <c r="AA103" s="1375"/>
      <c r="AB103" s="1375"/>
      <c r="AC103" s="553"/>
      <c r="AD103" s="1375"/>
      <c r="AE103" s="1375"/>
      <c r="AF103" s="1375"/>
      <c r="AG103" s="1375"/>
      <c r="AH103" s="1375"/>
      <c r="AI103" s="1641"/>
      <c r="AJ103" s="631"/>
      <c r="AK103" s="631"/>
      <c r="AL103" s="631"/>
      <c r="AM103" s="631"/>
      <c r="AN103" s="1650">
        <v>11</v>
      </c>
    </row>
    <row s="1650" customFormat="1" customHeight="1" ht="11.549999999999999">
      <c r="A104" s="996"/>
      <c r="B104" s="996"/>
      <c r="C104" s="996"/>
      <c r="D104" s="996"/>
      <c r="E104" s="996"/>
      <c r="F104" s="1645"/>
      <c r="G104" s="1645"/>
      <c r="H104" s="360"/>
      <c r="N104" s="1650"/>
      <c r="O104" s="1650"/>
      <c r="P104" s="1650"/>
      <c r="Q104" s="1375"/>
      <c r="S104" s="1375"/>
      <c r="T104" s="1645"/>
      <c r="U104" s="1645"/>
      <c r="V104" s="1375"/>
      <c r="W104" s="1375"/>
      <c r="X104" s="1375"/>
      <c r="Y104" s="1375"/>
      <c r="Z104" s="1645"/>
      <c r="AA104" s="1375"/>
      <c r="AB104" s="1375"/>
      <c r="AC104" s="553"/>
      <c r="AD104" s="1375"/>
      <c r="AE104" s="1375"/>
      <c r="AF104" s="1375"/>
      <c r="AG104" s="1375"/>
      <c r="AH104" s="1375"/>
      <c r="AI104" s="1641"/>
      <c r="AJ104" s="631"/>
      <c r="AK104" s="631"/>
      <c r="AL104" s="631"/>
      <c r="AM104" s="631"/>
      <c r="AN104" s="1650">
        <v>11</v>
      </c>
    </row>
    <row s="1650" customFormat="1" customHeight="1" ht="11.549999999999999">
      <c r="A105" s="996"/>
      <c r="B105" s="996"/>
      <c r="C105" s="996"/>
      <c r="D105" s="996"/>
      <c r="E105" s="996"/>
      <c r="F105" s="1645"/>
      <c r="G105" s="1645"/>
      <c r="H105" s="360"/>
      <c r="N105" s="1650"/>
      <c r="O105" s="1650"/>
      <c r="P105" s="1650"/>
      <c r="Q105" s="1375"/>
      <c r="S105" s="1375"/>
      <c r="T105" s="1645"/>
      <c r="U105" s="1645"/>
      <c r="V105" s="1375"/>
      <c r="W105" s="1375"/>
      <c r="X105" s="1375"/>
      <c r="Y105" s="1375"/>
      <c r="Z105" s="1645"/>
      <c r="AA105" s="1375"/>
      <c r="AB105" s="1375"/>
      <c r="AC105" s="553"/>
      <c r="AD105" s="1375"/>
      <c r="AE105" s="1375"/>
      <c r="AF105" s="1375"/>
      <c r="AG105" s="1375"/>
      <c r="AH105" s="1375"/>
      <c r="AI105" s="1641"/>
      <c r="AJ105" s="631"/>
      <c r="AK105" s="631"/>
      <c r="AL105" s="631"/>
      <c r="AM105" s="631"/>
      <c r="AN105" s="1650">
        <v>11</v>
      </c>
    </row>
    <row s="1650" customFormat="1" customHeight="1" ht="11.549999999999999">
      <c r="A106" s="996"/>
      <c r="B106" s="996"/>
      <c r="C106" s="996"/>
      <c r="D106" s="996"/>
      <c r="E106" s="996"/>
      <c r="F106" s="1645"/>
      <c r="G106" s="1645"/>
      <c r="H106" s="360"/>
      <c r="N106" s="1650"/>
      <c r="O106" s="1650"/>
      <c r="P106" s="1650"/>
      <c r="Q106" s="1375"/>
      <c r="S106" s="1375"/>
      <c r="T106" s="1645"/>
      <c r="U106" s="1645"/>
      <c r="V106" s="1375"/>
      <c r="W106" s="1375"/>
      <c r="X106" s="1375"/>
      <c r="Y106" s="1375"/>
      <c r="Z106" s="1645"/>
      <c r="AA106" s="1375"/>
      <c r="AB106" s="1375"/>
      <c r="AC106" s="553"/>
      <c r="AD106" s="1375"/>
      <c r="AE106" s="1375"/>
      <c r="AF106" s="1375"/>
      <c r="AG106" s="1375"/>
      <c r="AH106" s="1375"/>
      <c r="AI106" s="1641"/>
      <c r="AJ106" s="631"/>
      <c r="AK106" s="631"/>
      <c r="AL106" s="631"/>
      <c r="AM106" s="631"/>
      <c r="AN106" s="1650">
        <v>11</v>
      </c>
    </row>
    <row s="1650" customFormat="1" customHeight="1" ht="11.549999999999999">
      <c r="A107" s="996"/>
      <c r="B107" s="996"/>
      <c r="C107" s="996"/>
      <c r="D107" s="996"/>
      <c r="E107" s="996"/>
      <c r="F107" s="1645"/>
      <c r="G107" s="1645"/>
      <c r="H107" s="360"/>
      <c r="N107" s="1650"/>
      <c r="O107" s="1650"/>
      <c r="P107" s="1650"/>
      <c r="Q107" s="1375"/>
      <c r="S107" s="1375"/>
      <c r="T107" s="1645"/>
      <c r="U107" s="1645"/>
      <c r="V107" s="1375"/>
      <c r="W107" s="1375"/>
      <c r="X107" s="1375"/>
      <c r="Y107" s="1375"/>
      <c r="Z107" s="1645"/>
      <c r="AA107" s="1375"/>
      <c r="AB107" s="1375"/>
      <c r="AC107" s="553"/>
      <c r="AD107" s="1375"/>
      <c r="AE107" s="1375"/>
      <c r="AF107" s="1375"/>
      <c r="AG107" s="1375"/>
      <c r="AH107" s="1375"/>
      <c r="AI107" s="1641"/>
      <c r="AJ107" s="631"/>
      <c r="AK107" s="631"/>
      <c r="AL107" s="631"/>
      <c r="AM107" s="631"/>
      <c r="AN107" s="1650">
        <v>11</v>
      </c>
    </row>
    <row s="1650" customFormat="1" customHeight="1" ht="11.549999999999999">
      <c r="A108" s="996"/>
      <c r="B108" s="996"/>
      <c r="C108" s="996"/>
      <c r="D108" s="996"/>
      <c r="E108" s="996"/>
      <c r="F108" s="1645"/>
      <c r="G108" s="1645"/>
      <c r="H108" s="360"/>
      <c r="N108" s="1650"/>
      <c r="O108" s="1650"/>
      <c r="P108" s="1650"/>
      <c r="Q108" s="1375"/>
      <c r="S108" s="1375"/>
      <c r="T108" s="1645"/>
      <c r="U108" s="1645"/>
      <c r="V108" s="1375"/>
      <c r="W108" s="1375"/>
      <c r="X108" s="1375"/>
      <c r="Y108" s="1375"/>
      <c r="Z108" s="1645"/>
      <c r="AA108" s="1375"/>
      <c r="AB108" s="1375"/>
      <c r="AC108" s="553"/>
      <c r="AD108" s="1375"/>
      <c r="AE108" s="1375"/>
      <c r="AF108" s="1375"/>
      <c r="AG108" s="1375"/>
      <c r="AH108" s="1375"/>
      <c r="AI108" s="1641"/>
      <c r="AJ108" s="631"/>
      <c r="AK108" s="631"/>
      <c r="AL108" s="631"/>
      <c r="AM108" s="631"/>
      <c r="AN108" s="1650">
        <v>11</v>
      </c>
    </row>
    <row s="1650" customFormat="1" customHeight="1" ht="11.549999999999999">
      <c r="A109" s="996"/>
      <c r="B109" s="996"/>
      <c r="C109" s="996"/>
      <c r="D109" s="996"/>
      <c r="E109" s="996"/>
      <c r="F109" s="1645"/>
      <c r="G109" s="1645"/>
      <c r="H109" s="360"/>
      <c r="N109" s="1650"/>
      <c r="O109" s="1650"/>
      <c r="P109" s="1650"/>
      <c r="Q109" s="1375"/>
      <c r="S109" s="1375"/>
      <c r="T109" s="1645"/>
      <c r="U109" s="1645"/>
      <c r="V109" s="1375"/>
      <c r="W109" s="1375"/>
      <c r="X109" s="1375"/>
      <c r="Y109" s="1375"/>
      <c r="Z109" s="1645"/>
      <c r="AA109" s="1375"/>
      <c r="AB109" s="1375"/>
      <c r="AC109" s="553"/>
      <c r="AD109" s="1375"/>
      <c r="AE109" s="1375"/>
      <c r="AF109" s="1375"/>
      <c r="AG109" s="1375"/>
      <c r="AH109" s="1375"/>
      <c r="AI109" s="1641"/>
      <c r="AJ109" s="631"/>
      <c r="AK109" s="631"/>
      <c r="AL109" s="631"/>
      <c r="AM109" s="631"/>
      <c r="AN109" s="1650">
        <v>11</v>
      </c>
    </row>
    <row s="1650" customFormat="1" customHeight="1" ht="11.549999999999999">
      <c r="A110" s="996"/>
      <c r="B110" s="996"/>
      <c r="C110" s="996"/>
      <c r="D110" s="996"/>
      <c r="E110" s="996"/>
      <c r="F110" s="1645"/>
      <c r="G110" s="1645"/>
      <c r="H110" s="360"/>
      <c r="N110" s="1650"/>
      <c r="O110" s="1650"/>
      <c r="P110" s="1650"/>
      <c r="Q110" s="1375"/>
      <c r="S110" s="1375"/>
      <c r="T110" s="1645"/>
      <c r="U110" s="1645"/>
      <c r="V110" s="1375"/>
      <c r="W110" s="1375"/>
      <c r="X110" s="1375"/>
      <c r="Y110" s="1375"/>
      <c r="Z110" s="1645"/>
      <c r="AA110" s="1375"/>
      <c r="AB110" s="1375"/>
      <c r="AC110" s="553"/>
      <c r="AD110" s="1375"/>
      <c r="AE110" s="1375"/>
      <c r="AF110" s="1375"/>
      <c r="AG110" s="1375"/>
      <c r="AH110" s="1375"/>
      <c r="AI110" s="1641"/>
      <c r="AJ110" s="631"/>
      <c r="AK110" s="631"/>
      <c r="AL110" s="631"/>
      <c r="AM110" s="631"/>
      <c r="AN110" s="1650">
        <v>11</v>
      </c>
    </row>
    <row s="1650" customFormat="1" customHeight="1" ht="11.549999999999999">
      <c r="A111" s="996"/>
      <c r="B111" s="996"/>
      <c r="C111" s="996"/>
      <c r="D111" s="996"/>
      <c r="E111" s="996"/>
      <c r="F111" s="1645"/>
      <c r="G111" s="1645"/>
      <c r="H111" s="360"/>
      <c r="N111" s="1650"/>
      <c r="O111" s="1650"/>
      <c r="P111" s="1650"/>
      <c r="Q111" s="1375"/>
      <c r="S111" s="1375"/>
      <c r="T111" s="1645"/>
      <c r="U111" s="1645"/>
      <c r="V111" s="1375"/>
      <c r="W111" s="1375"/>
      <c r="X111" s="1375"/>
      <c r="Y111" s="1375"/>
      <c r="Z111" s="1645"/>
      <c r="AA111" s="1375"/>
      <c r="AB111" s="1375"/>
      <c r="AC111" s="553"/>
      <c r="AD111" s="1375"/>
      <c r="AE111" s="1375"/>
      <c r="AF111" s="1375"/>
      <c r="AG111" s="1375"/>
      <c r="AH111" s="1375"/>
      <c r="AI111" s="1641"/>
      <c r="AJ111" s="631"/>
      <c r="AK111" s="631"/>
      <c r="AL111" s="631"/>
      <c r="AM111" s="631"/>
      <c r="AN111" s="1650">
        <v>11</v>
      </c>
    </row>
    <row s="1650" customFormat="1" customHeight="1" ht="11.549999999999999">
      <c r="A112" s="996"/>
      <c r="B112" s="996"/>
      <c r="C112" s="996"/>
      <c r="D112" s="996"/>
      <c r="E112" s="996"/>
      <c r="F112" s="1645"/>
      <c r="G112" s="1645"/>
      <c r="H112" s="360"/>
      <c r="N112" s="1650"/>
      <c r="O112" s="1650"/>
      <c r="P112" s="1650"/>
      <c r="Q112" s="1375"/>
      <c r="S112" s="1375"/>
      <c r="T112" s="1645"/>
      <c r="U112" s="1645"/>
      <c r="V112" s="1375"/>
      <c r="W112" s="1375"/>
      <c r="X112" s="1375"/>
      <c r="Y112" s="1375"/>
      <c r="Z112" s="1645"/>
      <c r="AA112" s="1375"/>
      <c r="AB112" s="1375"/>
      <c r="AC112" s="553"/>
      <c r="AD112" s="1375"/>
      <c r="AE112" s="1375"/>
      <c r="AF112" s="1375"/>
      <c r="AG112" s="1375"/>
      <c r="AH112" s="1375"/>
      <c r="AI112" s="1641"/>
      <c r="AJ112" s="631"/>
      <c r="AK112" s="631"/>
      <c r="AL112" s="631"/>
      <c r="AM112" s="631"/>
      <c r="AN112" s="1650">
        <v>11</v>
      </c>
    </row>
    <row s="1650" customFormat="1" customHeight="1" ht="11.549999999999999">
      <c r="A113" s="996"/>
      <c r="B113" s="996"/>
      <c r="C113" s="996"/>
      <c r="D113" s="996"/>
      <c r="E113" s="996"/>
      <c r="F113" s="1645"/>
      <c r="G113" s="1645"/>
      <c r="H113" s="360"/>
      <c r="N113" s="1650"/>
      <c r="O113" s="1650"/>
      <c r="P113" s="1650"/>
      <c r="Q113" s="1375"/>
      <c r="S113" s="1375"/>
      <c r="T113" s="1645"/>
      <c r="U113" s="1645"/>
      <c r="V113" s="1375"/>
      <c r="W113" s="1375"/>
      <c r="X113" s="1375"/>
      <c r="Y113" s="1375"/>
      <c r="Z113" s="1645"/>
      <c r="AA113" s="1375"/>
      <c r="AB113" s="1375"/>
      <c r="AC113" s="553"/>
      <c r="AD113" s="1375"/>
      <c r="AE113" s="1375"/>
      <c r="AF113" s="1375"/>
      <c r="AG113" s="1375"/>
      <c r="AH113" s="1375"/>
      <c r="AI113" s="1641"/>
      <c r="AJ113" s="631"/>
      <c r="AK113" s="631"/>
      <c r="AL113" s="631"/>
      <c r="AM113" s="631"/>
      <c r="AN113" s="1650">
        <v>11</v>
      </c>
    </row>
    <row s="1650" customFormat="1" customHeight="1" ht="11.549999999999999">
      <c r="A114" s="996"/>
      <c r="B114" s="996"/>
      <c r="C114" s="996"/>
      <c r="D114" s="996"/>
      <c r="E114" s="996"/>
      <c r="F114" s="1645"/>
      <c r="G114" s="1645"/>
      <c r="H114" s="360"/>
      <c r="N114" s="1650"/>
      <c r="O114" s="1650"/>
      <c r="P114" s="1650"/>
      <c r="Q114" s="1375"/>
      <c r="S114" s="1375"/>
      <c r="T114" s="1645"/>
      <c r="U114" s="1645"/>
      <c r="V114" s="1375"/>
      <c r="W114" s="1375"/>
      <c r="X114" s="1375"/>
      <c r="Y114" s="1375"/>
      <c r="Z114" s="1645"/>
      <c r="AA114" s="1375"/>
      <c r="AB114" s="1375"/>
      <c r="AC114" s="553"/>
      <c r="AD114" s="1375"/>
      <c r="AE114" s="1375"/>
      <c r="AF114" s="1375"/>
      <c r="AG114" s="1375"/>
      <c r="AH114" s="1375"/>
      <c r="AI114" s="1641"/>
      <c r="AJ114" s="631"/>
      <c r="AK114" s="631"/>
      <c r="AL114" s="631"/>
      <c r="AM114" s="631"/>
      <c r="AN114" s="1650">
        <v>11</v>
      </c>
    </row>
    <row s="1650" customFormat="1" customHeight="1" ht="11.549999999999999">
      <c r="A115" s="996"/>
      <c r="B115" s="996"/>
      <c r="C115" s="996"/>
      <c r="D115" s="996"/>
      <c r="E115" s="996"/>
      <c r="F115" s="1645"/>
      <c r="G115" s="1645"/>
      <c r="H115" s="360"/>
      <c r="N115" s="1650"/>
      <c r="O115" s="1650"/>
      <c r="P115" s="1650"/>
      <c r="Q115" s="1375"/>
      <c r="S115" s="1375"/>
      <c r="T115" s="1645"/>
      <c r="U115" s="1645"/>
      <c r="V115" s="1375"/>
      <c r="W115" s="1375"/>
      <c r="X115" s="1375"/>
      <c r="Y115" s="1375"/>
      <c r="Z115" s="1645"/>
      <c r="AA115" s="1375"/>
      <c r="AB115" s="1375"/>
      <c r="AC115" s="553"/>
      <c r="AD115" s="1375"/>
      <c r="AE115" s="1375"/>
      <c r="AF115" s="1375"/>
      <c r="AG115" s="1375"/>
      <c r="AH115" s="1375"/>
      <c r="AI115" s="1641"/>
      <c r="AJ115" s="631"/>
      <c r="AK115" s="631"/>
      <c r="AL115" s="631"/>
      <c r="AM115" s="631"/>
      <c r="AN115" s="1650">
        <v>11</v>
      </c>
    </row>
    <row s="1650" customFormat="1" customHeight="1" ht="11.549999999999999">
      <c r="A116" s="996"/>
      <c r="B116" s="996"/>
      <c r="C116" s="996"/>
      <c r="D116" s="996"/>
      <c r="E116" s="996"/>
      <c r="F116" s="1645"/>
      <c r="G116" s="1645"/>
      <c r="H116" s="360"/>
      <c r="N116" s="1650"/>
      <c r="O116" s="1650"/>
      <c r="P116" s="1650"/>
      <c r="Q116" s="1375"/>
      <c r="S116" s="1375"/>
      <c r="T116" s="1645"/>
      <c r="U116" s="1645"/>
      <c r="V116" s="1375"/>
      <c r="W116" s="1375"/>
      <c r="X116" s="1375"/>
      <c r="Y116" s="1375"/>
      <c r="Z116" s="1645"/>
      <c r="AA116" s="1375"/>
      <c r="AB116" s="1375"/>
      <c r="AC116" s="553"/>
      <c r="AD116" s="1375"/>
      <c r="AE116" s="1375"/>
      <c r="AF116" s="1375"/>
      <c r="AG116" s="1375"/>
      <c r="AH116" s="1375"/>
      <c r="AI116" s="1641"/>
      <c r="AJ116" s="631"/>
      <c r="AK116" s="631"/>
      <c r="AL116" s="631"/>
      <c r="AM116" s="631"/>
      <c r="AN116" s="1650">
        <v>11</v>
      </c>
    </row>
    <row s="1650" customFormat="1" customHeight="1" ht="11.549999999999999">
      <c r="A117" s="996"/>
      <c r="B117" s="996"/>
      <c r="C117" s="996"/>
      <c r="D117" s="996"/>
      <c r="E117" s="996"/>
      <c r="F117" s="1645"/>
      <c r="G117" s="1645"/>
      <c r="H117" s="360"/>
      <c r="N117" s="1650"/>
      <c r="O117" s="1650"/>
      <c r="P117" s="1650"/>
      <c r="Q117" s="1375"/>
      <c r="S117" s="1375"/>
      <c r="T117" s="1645"/>
      <c r="U117" s="1645"/>
      <c r="V117" s="1375"/>
      <c r="W117" s="1375"/>
      <c r="X117" s="1375"/>
      <c r="Y117" s="1375"/>
      <c r="Z117" s="1645"/>
      <c r="AA117" s="1375"/>
      <c r="AB117" s="1375"/>
      <c r="AC117" s="553"/>
      <c r="AD117" s="1375"/>
      <c r="AE117" s="1375"/>
      <c r="AF117" s="1375"/>
      <c r="AG117" s="1375"/>
      <c r="AH117" s="1375"/>
      <c r="AI117" s="1641"/>
      <c r="AJ117" s="631"/>
      <c r="AK117" s="631"/>
      <c r="AL117" s="631"/>
      <c r="AM117" s="631"/>
      <c r="AN117" s="1650">
        <v>11</v>
      </c>
    </row>
    <row s="1650" customFormat="1" customHeight="1" ht="11.549999999999999">
      <c r="A118" s="996"/>
      <c r="B118" s="996"/>
      <c r="C118" s="996"/>
      <c r="D118" s="996"/>
      <c r="E118" s="996"/>
      <c r="F118" s="1645"/>
      <c r="G118" s="1645"/>
      <c r="H118" s="360"/>
      <c r="N118" s="1650"/>
      <c r="O118" s="1650"/>
      <c r="P118" s="1650"/>
      <c r="Q118" s="1375"/>
      <c r="S118" s="1375"/>
      <c r="T118" s="1645"/>
      <c r="U118" s="1645"/>
      <c r="V118" s="1375"/>
      <c r="W118" s="1375"/>
      <c r="X118" s="1375"/>
      <c r="Y118" s="1375"/>
      <c r="Z118" s="1645"/>
      <c r="AA118" s="1375"/>
      <c r="AB118" s="1375"/>
      <c r="AC118" s="553"/>
      <c r="AD118" s="1375"/>
      <c r="AE118" s="1375"/>
      <c r="AF118" s="1375"/>
      <c r="AG118" s="1375"/>
      <c r="AH118" s="1375"/>
      <c r="AI118" s="1641"/>
      <c r="AJ118" s="631"/>
      <c r="AK118" s="631"/>
      <c r="AL118" s="631"/>
      <c r="AM118" s="631"/>
      <c r="AN118" s="1650">
        <v>11</v>
      </c>
    </row>
    <row s="1650" customFormat="1" customHeight="1" ht="11.549999999999999">
      <c r="A119" s="996"/>
      <c r="B119" s="996"/>
      <c r="C119" s="996"/>
      <c r="D119" s="996"/>
      <c r="E119" s="996"/>
      <c r="F119" s="1645"/>
      <c r="G119" s="1645"/>
      <c r="H119" s="360"/>
      <c r="N119" s="1650"/>
      <c r="O119" s="1650"/>
      <c r="P119" s="1650"/>
      <c r="Q119" s="1375"/>
      <c r="S119" s="1375"/>
      <c r="T119" s="1645"/>
      <c r="U119" s="1645"/>
      <c r="V119" s="1375"/>
      <c r="W119" s="1375"/>
      <c r="X119" s="1375"/>
      <c r="Y119" s="1375"/>
      <c r="Z119" s="1645"/>
      <c r="AA119" s="1375"/>
      <c r="AB119" s="1375"/>
      <c r="AC119" s="553"/>
      <c r="AD119" s="1375"/>
      <c r="AE119" s="1375"/>
      <c r="AF119" s="1375"/>
      <c r="AG119" s="1375"/>
      <c r="AH119" s="1375"/>
      <c r="AI119" s="1641"/>
      <c r="AJ119" s="631"/>
      <c r="AK119" s="631"/>
      <c r="AL119" s="631"/>
      <c r="AM119" s="631"/>
      <c r="AN119" s="1650">
        <v>11</v>
      </c>
    </row>
    <row s="1650" customFormat="1" customHeight="1" ht="11.549999999999999">
      <c r="A120" s="996"/>
      <c r="B120" s="996"/>
      <c r="C120" s="996"/>
      <c r="D120" s="996"/>
      <c r="E120" s="996"/>
      <c r="F120" s="1645"/>
      <c r="G120" s="1645"/>
      <c r="H120" s="360"/>
      <c r="N120" s="1650"/>
      <c r="O120" s="1650"/>
      <c r="P120" s="1650"/>
      <c r="Q120" s="1375"/>
      <c r="S120" s="1375"/>
      <c r="T120" s="1645"/>
      <c r="U120" s="1645"/>
      <c r="V120" s="1375"/>
      <c r="W120" s="1375"/>
      <c r="X120" s="1375"/>
      <c r="Y120" s="1375"/>
      <c r="Z120" s="1645"/>
      <c r="AA120" s="1375"/>
      <c r="AB120" s="1375"/>
      <c r="AC120" s="553"/>
      <c r="AD120" s="1375"/>
      <c r="AE120" s="1375"/>
      <c r="AF120" s="1375"/>
      <c r="AG120" s="1375"/>
      <c r="AH120" s="1375"/>
      <c r="AI120" s="1641"/>
      <c r="AJ120" s="631"/>
      <c r="AK120" s="631"/>
      <c r="AL120" s="631"/>
      <c r="AM120" s="631"/>
      <c r="AN120" s="1650">
        <v>11</v>
      </c>
    </row>
    <row s="1650" customFormat="1" customHeight="1" ht="11.549999999999999">
      <c r="A121" s="996"/>
      <c r="B121" s="996"/>
      <c r="C121" s="996"/>
      <c r="D121" s="996"/>
      <c r="E121" s="996"/>
      <c r="F121" s="1645"/>
      <c r="G121" s="1645"/>
      <c r="H121" s="360"/>
      <c r="N121" s="1650"/>
      <c r="O121" s="1650"/>
      <c r="P121" s="1650"/>
      <c r="Q121" s="1375"/>
      <c r="S121" s="1375"/>
      <c r="T121" s="1645"/>
      <c r="U121" s="1645"/>
      <c r="V121" s="1375"/>
      <c r="W121" s="1375"/>
      <c r="X121" s="1375"/>
      <c r="Y121" s="1375"/>
      <c r="Z121" s="1645"/>
      <c r="AA121" s="1375"/>
      <c r="AB121" s="1375"/>
      <c r="AC121" s="553"/>
      <c r="AD121" s="1375"/>
      <c r="AE121" s="1375"/>
      <c r="AF121" s="1375"/>
      <c r="AG121" s="1375"/>
      <c r="AH121" s="1375"/>
      <c r="AI121" s="1641"/>
      <c r="AJ121" s="631"/>
      <c r="AK121" s="631"/>
      <c r="AL121" s="631"/>
      <c r="AM121" s="631"/>
      <c r="AN121" s="1650">
        <v>11</v>
      </c>
    </row>
    <row s="1650" customFormat="1" customHeight="1" ht="11.549999999999999">
      <c r="A122" s="996"/>
      <c r="B122" s="996"/>
      <c r="C122" s="996"/>
      <c r="D122" s="996"/>
      <c r="E122" s="996"/>
      <c r="F122" s="1645"/>
      <c r="G122" s="1645"/>
      <c r="H122" s="360"/>
      <c r="N122" s="1650"/>
      <c r="O122" s="1650"/>
      <c r="P122" s="1650"/>
      <c r="Q122" s="1375"/>
      <c r="S122" s="1375"/>
      <c r="T122" s="1645"/>
      <c r="U122" s="1645"/>
      <c r="V122" s="1375"/>
      <c r="W122" s="1375"/>
      <c r="X122" s="1375"/>
      <c r="Y122" s="1375"/>
      <c r="Z122" s="1645"/>
      <c r="AA122" s="1375"/>
      <c r="AB122" s="1375"/>
      <c r="AC122" s="553"/>
      <c r="AD122" s="1375"/>
      <c r="AE122" s="1375"/>
      <c r="AF122" s="1375"/>
      <c r="AG122" s="1375"/>
      <c r="AH122" s="1375"/>
      <c r="AI122" s="1641"/>
      <c r="AJ122" s="631"/>
      <c r="AK122" s="631"/>
      <c r="AL122" s="631"/>
      <c r="AM122" s="631"/>
      <c r="AN122" s="1650">
        <v>11</v>
      </c>
    </row>
    <row s="1650" customFormat="1" customHeight="1" ht="11.549999999999999">
      <c r="A123" s="996"/>
      <c r="B123" s="996"/>
      <c r="C123" s="996"/>
      <c r="D123" s="996"/>
      <c r="E123" s="996"/>
      <c r="F123" s="1645"/>
      <c r="G123" s="1645"/>
      <c r="H123" s="360"/>
      <c r="N123" s="1650"/>
      <c r="O123" s="1650"/>
      <c r="P123" s="1650"/>
      <c r="Q123" s="1375"/>
      <c r="S123" s="1375"/>
      <c r="T123" s="1645"/>
      <c r="U123" s="1645"/>
      <c r="V123" s="1375"/>
      <c r="W123" s="1375"/>
      <c r="X123" s="1375"/>
      <c r="Y123" s="1375"/>
      <c r="Z123" s="1645"/>
      <c r="AA123" s="1375"/>
      <c r="AB123" s="1375"/>
      <c r="AC123" s="553"/>
      <c r="AD123" s="1375"/>
      <c r="AE123" s="1375"/>
      <c r="AF123" s="1375"/>
      <c r="AG123" s="1375"/>
      <c r="AH123" s="1375"/>
      <c r="AI123" s="1641"/>
      <c r="AJ123" s="631"/>
      <c r="AK123" s="631"/>
      <c r="AL123" s="631"/>
      <c r="AM123" s="631"/>
      <c r="AN123" s="1650">
        <v>11</v>
      </c>
    </row>
    <row s="1650" customFormat="1" customHeight="1" ht="11.549999999999999">
      <c r="A124" s="996"/>
      <c r="B124" s="996"/>
      <c r="C124" s="996"/>
      <c r="D124" s="996"/>
      <c r="E124" s="996"/>
      <c r="F124" s="1645"/>
      <c r="G124" s="1645"/>
      <c r="H124" s="360"/>
      <c r="N124" s="1650"/>
      <c r="O124" s="1650"/>
      <c r="P124" s="1650"/>
      <c r="Q124" s="1375"/>
      <c r="S124" s="1375"/>
      <c r="T124" s="1645"/>
      <c r="U124" s="1645"/>
      <c r="V124" s="1375"/>
      <c r="W124" s="1375"/>
      <c r="X124" s="1375"/>
      <c r="Y124" s="1375"/>
      <c r="Z124" s="1645"/>
      <c r="AA124" s="1375"/>
      <c r="AB124" s="1375"/>
      <c r="AC124" s="553"/>
      <c r="AD124" s="1375"/>
      <c r="AE124" s="1375"/>
      <c r="AF124" s="1375"/>
      <c r="AG124" s="1375"/>
      <c r="AH124" s="1375"/>
      <c r="AI124" s="1641"/>
      <c r="AJ124" s="631"/>
      <c r="AK124" s="631"/>
      <c r="AL124" s="631"/>
      <c r="AM124" s="631"/>
      <c r="AN124" s="1650">
        <v>11</v>
      </c>
    </row>
    <row s="1650" customFormat="1" customHeight="1" ht="11.549999999999999">
      <c r="A125" s="996"/>
      <c r="B125" s="996"/>
      <c r="C125" s="996"/>
      <c r="D125" s="996"/>
      <c r="E125" s="996"/>
      <c r="F125" s="1645"/>
      <c r="G125" s="1645"/>
      <c r="H125" s="360"/>
      <c r="N125" s="1650"/>
      <c r="O125" s="1650"/>
      <c r="P125" s="1650"/>
      <c r="Q125" s="1375"/>
      <c r="S125" s="1375"/>
      <c r="T125" s="1645"/>
      <c r="U125" s="1645"/>
      <c r="V125" s="1375"/>
      <c r="W125" s="1375"/>
      <c r="X125" s="1375"/>
      <c r="Y125" s="1375"/>
      <c r="Z125" s="1645"/>
      <c r="AA125" s="1375"/>
      <c r="AB125" s="1375"/>
      <c r="AC125" s="553"/>
      <c r="AD125" s="1375"/>
      <c r="AE125" s="1375"/>
      <c r="AF125" s="1375"/>
      <c r="AG125" s="1375"/>
      <c r="AH125" s="1375"/>
      <c r="AI125" s="1641"/>
      <c r="AJ125" s="631"/>
      <c r="AK125" s="631"/>
      <c r="AL125" s="631"/>
      <c r="AM125" s="631"/>
      <c r="AN125" s="1650">
        <v>11</v>
      </c>
    </row>
    <row s="1650" customFormat="1" customHeight="1" ht="11.549999999999999">
      <c r="A126" s="996"/>
      <c r="B126" s="996"/>
      <c r="C126" s="996"/>
      <c r="D126" s="996"/>
      <c r="E126" s="996"/>
      <c r="F126" s="1645"/>
      <c r="G126" s="1645"/>
      <c r="H126" s="360"/>
      <c r="N126" s="1650"/>
      <c r="O126" s="1650"/>
      <c r="P126" s="1650"/>
      <c r="Q126" s="1375"/>
      <c r="S126" s="1375"/>
      <c r="T126" s="1645"/>
      <c r="U126" s="1645"/>
      <c r="V126" s="1375"/>
      <c r="W126" s="1375"/>
      <c r="X126" s="1375"/>
      <c r="Y126" s="1375"/>
      <c r="Z126" s="1645"/>
      <c r="AA126" s="1375"/>
      <c r="AB126" s="1375"/>
      <c r="AC126" s="553"/>
      <c r="AD126" s="1375"/>
      <c r="AE126" s="1375"/>
      <c r="AF126" s="1375"/>
      <c r="AG126" s="1375"/>
      <c r="AH126" s="1375"/>
      <c r="AI126" s="1641"/>
      <c r="AJ126" s="631"/>
      <c r="AK126" s="631"/>
      <c r="AL126" s="631"/>
      <c r="AM126" s="631"/>
      <c r="AN126" s="1650">
        <v>11</v>
      </c>
    </row>
    <row s="1650" customFormat="1" customHeight="1" ht="11.549999999999999">
      <c r="A127" s="996"/>
      <c r="B127" s="996"/>
      <c r="C127" s="996"/>
      <c r="D127" s="996"/>
      <c r="E127" s="996"/>
      <c r="F127" s="1645"/>
      <c r="G127" s="1645"/>
      <c r="H127" s="360"/>
      <c r="N127" s="1650"/>
      <c r="O127" s="1650"/>
      <c r="P127" s="1650"/>
      <c r="Q127" s="1375"/>
      <c r="S127" s="1375"/>
      <c r="T127" s="1645"/>
      <c r="U127" s="1645"/>
      <c r="V127" s="1375"/>
      <c r="W127" s="1375"/>
      <c r="X127" s="1375"/>
      <c r="Y127" s="1375"/>
      <c r="Z127" s="1645"/>
      <c r="AA127" s="1375"/>
      <c r="AB127" s="1375"/>
      <c r="AC127" s="553"/>
      <c r="AD127" s="1375"/>
      <c r="AE127" s="1375"/>
      <c r="AF127" s="1375"/>
      <c r="AG127" s="1375"/>
      <c r="AH127" s="1375"/>
      <c r="AI127" s="1641"/>
      <c r="AJ127" s="631"/>
      <c r="AK127" s="631"/>
      <c r="AL127" s="631"/>
      <c r="AM127" s="631"/>
      <c r="AN127" s="1650">
        <v>11</v>
      </c>
    </row>
    <row s="1650" customFormat="1" customHeight="1" ht="11.549999999999999">
      <c r="A128" s="996"/>
      <c r="B128" s="996"/>
      <c r="C128" s="996"/>
      <c r="D128" s="996"/>
      <c r="E128" s="996"/>
      <c r="F128" s="1645"/>
      <c r="G128" s="1645"/>
      <c r="H128" s="360"/>
      <c r="N128" s="1650"/>
      <c r="O128" s="1650"/>
      <c r="P128" s="1650"/>
      <c r="Q128" s="1375"/>
      <c r="S128" s="1375"/>
      <c r="T128" s="1645"/>
      <c r="U128" s="1645"/>
      <c r="V128" s="1375"/>
      <c r="W128" s="1375"/>
      <c r="X128" s="1375"/>
      <c r="Y128" s="1375"/>
      <c r="Z128" s="1645"/>
      <c r="AA128" s="1375"/>
      <c r="AB128" s="1375"/>
      <c r="AC128" s="553"/>
      <c r="AD128" s="1375"/>
      <c r="AE128" s="1375"/>
      <c r="AF128" s="1375"/>
      <c r="AG128" s="1375"/>
      <c r="AH128" s="1375"/>
      <c r="AI128" s="1641"/>
      <c r="AJ128" s="631"/>
      <c r="AK128" s="631"/>
      <c r="AL128" s="631"/>
      <c r="AM128" s="631"/>
      <c r="AN128" s="1650">
        <v>11</v>
      </c>
    </row>
    <row s="1650" customFormat="1" customHeight="1" ht="11.549999999999999">
      <c r="A129" s="996"/>
      <c r="B129" s="996"/>
      <c r="C129" s="996"/>
      <c r="D129" s="996"/>
      <c r="E129" s="996"/>
      <c r="F129" s="1645"/>
      <c r="G129" s="1645"/>
      <c r="H129" s="360"/>
      <c r="N129" s="1650"/>
      <c r="O129" s="1650"/>
      <c r="P129" s="1650"/>
      <c r="Q129" s="1375"/>
      <c r="S129" s="1375"/>
      <c r="T129" s="1645"/>
      <c r="U129" s="1645"/>
      <c r="V129" s="1375"/>
      <c r="W129" s="1375"/>
      <c r="X129" s="1375"/>
      <c r="Y129" s="1375"/>
      <c r="Z129" s="1645"/>
      <c r="AA129" s="1375"/>
      <c r="AB129" s="1375"/>
      <c r="AC129" s="553"/>
      <c r="AD129" s="1375"/>
      <c r="AE129" s="1375"/>
      <c r="AF129" s="1375"/>
      <c r="AG129" s="1375"/>
      <c r="AH129" s="1375"/>
      <c r="AI129" s="1641"/>
      <c r="AJ129" s="631"/>
      <c r="AK129" s="631"/>
      <c r="AL129" s="631"/>
      <c r="AM129" s="631"/>
      <c r="AN129" s="1650">
        <v>11</v>
      </c>
    </row>
    <row s="1650" customFormat="1" customHeight="1" ht="11.549999999999999">
      <c r="A130" s="996"/>
      <c r="B130" s="996"/>
      <c r="C130" s="996"/>
      <c r="D130" s="996"/>
      <c r="E130" s="996"/>
      <c r="F130" s="1645"/>
      <c r="G130" s="1645"/>
      <c r="H130" s="360"/>
      <c r="N130" s="1650"/>
      <c r="O130" s="1650"/>
      <c r="P130" s="1650"/>
      <c r="Q130" s="1375"/>
      <c r="S130" s="1375"/>
      <c r="T130" s="1645"/>
      <c r="U130" s="1645"/>
      <c r="V130" s="1375"/>
      <c r="W130" s="1375"/>
      <c r="X130" s="1375"/>
      <c r="Y130" s="1375"/>
      <c r="Z130" s="1645"/>
      <c r="AA130" s="1375"/>
      <c r="AB130" s="1375"/>
      <c r="AC130" s="553"/>
      <c r="AD130" s="1375"/>
      <c r="AE130" s="1375"/>
      <c r="AF130" s="1375"/>
      <c r="AG130" s="1375"/>
      <c r="AH130" s="1375"/>
      <c r="AI130" s="1641"/>
      <c r="AJ130" s="631"/>
      <c r="AK130" s="631"/>
      <c r="AL130" s="631"/>
      <c r="AM130" s="631"/>
      <c r="AN130" s="1650">
        <v>11</v>
      </c>
    </row>
    <row s="1650" customFormat="1" customHeight="1" ht="11.549999999999999">
      <c r="A131" s="996"/>
      <c r="B131" s="996"/>
      <c r="C131" s="996"/>
      <c r="D131" s="996"/>
      <c r="E131" s="996"/>
      <c r="F131" s="1645"/>
      <c r="G131" s="1645"/>
      <c r="H131" s="360"/>
      <c r="N131" s="1650"/>
      <c r="O131" s="1650"/>
      <c r="P131" s="1650"/>
      <c r="Q131" s="1375"/>
      <c r="S131" s="1375"/>
      <c r="T131" s="1645"/>
      <c r="U131" s="1645"/>
      <c r="V131" s="1375"/>
      <c r="W131" s="1375"/>
      <c r="X131" s="1375"/>
      <c r="Y131" s="1375"/>
      <c r="Z131" s="1645"/>
      <c r="AA131" s="1375"/>
      <c r="AB131" s="1375"/>
      <c r="AC131" s="553"/>
      <c r="AD131" s="1375"/>
      <c r="AE131" s="1375"/>
      <c r="AF131" s="1375"/>
      <c r="AG131" s="1375"/>
      <c r="AH131" s="1375"/>
      <c r="AI131" s="1641"/>
      <c r="AJ131" s="631"/>
      <c r="AK131" s="631"/>
      <c r="AL131" s="631"/>
      <c r="AM131" s="631"/>
      <c r="AN131" s="1650">
        <v>11</v>
      </c>
    </row>
    <row s="1650" customFormat="1" customHeight="1" ht="11.549999999999999">
      <c r="A132" s="996"/>
      <c r="B132" s="996"/>
      <c r="C132" s="996"/>
      <c r="D132" s="996"/>
      <c r="E132" s="996"/>
      <c r="F132" s="1645"/>
      <c r="G132" s="1645"/>
      <c r="H132" s="360"/>
      <c r="N132" s="1650"/>
      <c r="O132" s="1650"/>
      <c r="P132" s="1650"/>
      <c r="Q132" s="1375"/>
      <c r="S132" s="1375"/>
      <c r="T132" s="1645"/>
      <c r="U132" s="1645"/>
      <c r="V132" s="1375"/>
      <c r="W132" s="1375"/>
      <c r="X132" s="1375"/>
      <c r="Y132" s="1375"/>
      <c r="Z132" s="1645"/>
      <c r="AA132" s="1375"/>
      <c r="AB132" s="1375"/>
      <c r="AC132" s="553"/>
      <c r="AD132" s="1375"/>
      <c r="AE132" s="1375"/>
      <c r="AF132" s="1375"/>
      <c r="AG132" s="1375"/>
      <c r="AH132" s="1375"/>
      <c r="AI132" s="1641"/>
      <c r="AJ132" s="631"/>
      <c r="AK132" s="631"/>
      <c r="AL132" s="631"/>
      <c r="AM132" s="631"/>
      <c r="AN132" s="1650">
        <v>11</v>
      </c>
    </row>
    <row s="1650" customFormat="1" customHeight="1" ht="11.549999999999999">
      <c r="A133" s="996"/>
      <c r="B133" s="996"/>
      <c r="C133" s="996"/>
      <c r="D133" s="996"/>
      <c r="E133" s="996"/>
      <c r="F133" s="1645"/>
      <c r="G133" s="1645"/>
      <c r="H133" s="360"/>
      <c r="N133" s="1650"/>
      <c r="O133" s="1650"/>
      <c r="P133" s="1650"/>
      <c r="Q133" s="1375"/>
      <c r="S133" s="1375"/>
      <c r="T133" s="1645"/>
      <c r="U133" s="1645"/>
      <c r="V133" s="1375"/>
      <c r="W133" s="1375"/>
      <c r="X133" s="1375"/>
      <c r="Y133" s="1375"/>
      <c r="Z133" s="1645"/>
      <c r="AA133" s="1375"/>
      <c r="AB133" s="1375"/>
      <c r="AC133" s="553"/>
      <c r="AD133" s="1375"/>
      <c r="AE133" s="1375"/>
      <c r="AF133" s="1375"/>
      <c r="AG133" s="1375"/>
      <c r="AH133" s="1375"/>
      <c r="AI133" s="1641"/>
      <c r="AJ133" s="631"/>
      <c r="AK133" s="631"/>
      <c r="AL133" s="631"/>
      <c r="AM133" s="631"/>
      <c r="AN133" s="1650">
        <v>11</v>
      </c>
    </row>
    <row s="1650" customFormat="1" customHeight="1" ht="11.549999999999999">
      <c r="A134" s="996"/>
      <c r="B134" s="996"/>
      <c r="C134" s="996"/>
      <c r="D134" s="996"/>
      <c r="E134" s="996"/>
      <c r="F134" s="1645"/>
      <c r="G134" s="1645"/>
      <c r="H134" s="360"/>
      <c r="N134" s="1650"/>
      <c r="O134" s="1650"/>
      <c r="P134" s="1650"/>
      <c r="Q134" s="1375"/>
      <c r="S134" s="1375"/>
      <c r="T134" s="1645"/>
      <c r="U134" s="1645"/>
      <c r="V134" s="1375"/>
      <c r="W134" s="1375"/>
      <c r="X134" s="1375"/>
      <c r="Y134" s="1375"/>
      <c r="Z134" s="1645"/>
      <c r="AA134" s="1375"/>
      <c r="AB134" s="1375"/>
      <c r="AC134" s="553"/>
      <c r="AD134" s="1375"/>
      <c r="AE134" s="1375"/>
      <c r="AF134" s="1375"/>
      <c r="AG134" s="1375"/>
      <c r="AH134" s="1375"/>
      <c r="AI134" s="1641"/>
      <c r="AJ134" s="631"/>
      <c r="AK134" s="631"/>
      <c r="AL134" s="631"/>
      <c r="AM134" s="631"/>
      <c r="AN134" s="1650">
        <v>11</v>
      </c>
    </row>
    <row s="1650" customFormat="1" customHeight="1" ht="11.549999999999999">
      <c r="A135" s="996"/>
      <c r="B135" s="996"/>
      <c r="C135" s="996"/>
      <c r="D135" s="996"/>
      <c r="E135" s="996"/>
      <c r="F135" s="1645"/>
      <c r="G135" s="1645"/>
      <c r="H135" s="360"/>
      <c r="N135" s="1650"/>
      <c r="O135" s="1650"/>
      <c r="P135" s="1650"/>
      <c r="Q135" s="1375"/>
      <c r="S135" s="1375"/>
      <c r="T135" s="1645"/>
      <c r="U135" s="1645"/>
      <c r="V135" s="1375"/>
      <c r="W135" s="1375"/>
      <c r="X135" s="1375"/>
      <c r="Y135" s="1375"/>
      <c r="Z135" s="1645"/>
      <c r="AA135" s="1375"/>
      <c r="AB135" s="1375"/>
      <c r="AC135" s="553"/>
      <c r="AD135" s="1375"/>
      <c r="AE135" s="1375"/>
      <c r="AF135" s="1375"/>
      <c r="AG135" s="1375"/>
      <c r="AH135" s="1375"/>
      <c r="AI135" s="1641"/>
      <c r="AJ135" s="631"/>
      <c r="AK135" s="631"/>
      <c r="AL135" s="631"/>
      <c r="AM135" s="631"/>
      <c r="AN135" s="1650">
        <v>11</v>
      </c>
    </row>
    <row s="1650" customFormat="1" customHeight="1" ht="11.549999999999999">
      <c r="A136" s="996"/>
      <c r="B136" s="996"/>
      <c r="C136" s="996"/>
      <c r="D136" s="996"/>
      <c r="E136" s="996"/>
      <c r="F136" s="1645"/>
      <c r="G136" s="1645"/>
      <c r="H136" s="360"/>
      <c r="N136" s="1650"/>
      <c r="O136" s="1650"/>
      <c r="P136" s="1650"/>
      <c r="Q136" s="1375"/>
      <c r="S136" s="1375"/>
      <c r="T136" s="1645"/>
      <c r="U136" s="1645"/>
      <c r="V136" s="1375"/>
      <c r="W136" s="1375"/>
      <c r="X136" s="1375"/>
      <c r="Y136" s="1375"/>
      <c r="Z136" s="1645"/>
      <c r="AA136" s="1375"/>
      <c r="AB136" s="1375"/>
      <c r="AC136" s="553"/>
      <c r="AD136" s="1375"/>
      <c r="AE136" s="1375"/>
      <c r="AF136" s="1375"/>
      <c r="AG136" s="1375"/>
      <c r="AH136" s="1375"/>
      <c r="AI136" s="1641"/>
      <c r="AJ136" s="631"/>
      <c r="AK136" s="631"/>
      <c r="AL136" s="631"/>
      <c r="AM136" s="631"/>
      <c r="AN136" s="1650">
        <v>11</v>
      </c>
    </row>
    <row s="1650" customFormat="1" customHeight="1" ht="11.549999999999999">
      <c r="A137" s="996"/>
      <c r="B137" s="996"/>
      <c r="C137" s="996"/>
      <c r="D137" s="996"/>
      <c r="E137" s="996"/>
      <c r="F137" s="1645"/>
      <c r="G137" s="1645"/>
      <c r="H137" s="360"/>
      <c r="N137" s="1650"/>
      <c r="O137" s="1650"/>
      <c r="P137" s="1650"/>
      <c r="Q137" s="1375"/>
      <c r="S137" s="1375"/>
      <c r="T137" s="1645"/>
      <c r="U137" s="1645"/>
      <c r="V137" s="1375"/>
      <c r="W137" s="1375"/>
      <c r="X137" s="1375"/>
      <c r="Y137" s="1375"/>
      <c r="Z137" s="1645"/>
      <c r="AA137" s="1375"/>
      <c r="AB137" s="1375"/>
      <c r="AC137" s="553"/>
      <c r="AD137" s="1375"/>
      <c r="AE137" s="1375"/>
      <c r="AF137" s="1375"/>
      <c r="AG137" s="1375"/>
      <c r="AH137" s="1375"/>
      <c r="AI137" s="1641"/>
      <c r="AJ137" s="631"/>
      <c r="AK137" s="631"/>
      <c r="AL137" s="631"/>
      <c r="AM137" s="631"/>
      <c r="AN137" s="1650">
        <v>11</v>
      </c>
    </row>
    <row s="1650" customFormat="1" customHeight="1" ht="11.549999999999999">
      <c r="A138" s="996"/>
      <c r="B138" s="996"/>
      <c r="C138" s="996"/>
      <c r="D138" s="996"/>
      <c r="E138" s="996"/>
      <c r="F138" s="1645"/>
      <c r="G138" s="1645"/>
      <c r="H138" s="360"/>
      <c r="N138" s="1650"/>
      <c r="O138" s="1650"/>
      <c r="P138" s="1650"/>
      <c r="Q138" s="1375"/>
      <c r="S138" s="1375"/>
      <c r="T138" s="1645"/>
      <c r="U138" s="1645"/>
      <c r="V138" s="1375"/>
      <c r="W138" s="1375"/>
      <c r="X138" s="1375"/>
      <c r="Y138" s="1375"/>
      <c r="Z138" s="1645"/>
      <c r="AA138" s="1375"/>
      <c r="AB138" s="1375"/>
      <c r="AC138" s="553"/>
      <c r="AD138" s="1375"/>
      <c r="AE138" s="1375"/>
      <c r="AF138" s="1375"/>
      <c r="AG138" s="1375"/>
      <c r="AH138" s="1375"/>
      <c r="AI138" s="1641"/>
      <c r="AJ138" s="631"/>
      <c r="AK138" s="631"/>
      <c r="AL138" s="631"/>
      <c r="AM138" s="631"/>
      <c r="AN138" s="1650">
        <v>11</v>
      </c>
    </row>
    <row s="1650" customFormat="1" customHeight="1" ht="11.549999999999999">
      <c r="A139" s="996"/>
      <c r="B139" s="996"/>
      <c r="C139" s="996"/>
      <c r="D139" s="996"/>
      <c r="E139" s="996"/>
      <c r="F139" s="1645"/>
      <c r="G139" s="1645"/>
      <c r="H139" s="360"/>
      <c r="N139" s="1650"/>
      <c r="O139" s="1650"/>
      <c r="P139" s="1650"/>
      <c r="Q139" s="1375"/>
      <c r="S139" s="1375"/>
      <c r="T139" s="1645"/>
      <c r="U139" s="1645"/>
      <c r="V139" s="1375"/>
      <c r="W139" s="1375"/>
      <c r="X139" s="1375"/>
      <c r="Y139" s="1375"/>
      <c r="Z139" s="1645"/>
      <c r="AA139" s="1375"/>
      <c r="AB139" s="1375"/>
      <c r="AC139" s="553"/>
      <c r="AD139" s="1375"/>
      <c r="AE139" s="1375"/>
      <c r="AF139" s="1375"/>
      <c r="AG139" s="1375"/>
      <c r="AH139" s="1375"/>
      <c r="AI139" s="1641"/>
      <c r="AJ139" s="631"/>
      <c r="AK139" s="631"/>
      <c r="AL139" s="631"/>
      <c r="AM139" s="631"/>
      <c r="AN139" s="1650">
        <v>11</v>
      </c>
    </row>
    <row s="1650" customFormat="1" customHeight="1" ht="11.549999999999999">
      <c r="A140" s="996"/>
      <c r="B140" s="996"/>
      <c r="C140" s="996"/>
      <c r="D140" s="996"/>
      <c r="E140" s="996"/>
      <c r="F140" s="1645"/>
      <c r="G140" s="1645"/>
      <c r="H140" s="360"/>
      <c r="N140" s="1650"/>
      <c r="O140" s="1650"/>
      <c r="P140" s="1650"/>
      <c r="Q140" s="1375"/>
      <c r="S140" s="1375"/>
      <c r="T140" s="1645"/>
      <c r="U140" s="1645"/>
      <c r="V140" s="1375"/>
      <c r="W140" s="1375"/>
      <c r="X140" s="1375"/>
      <c r="Y140" s="1375"/>
      <c r="Z140" s="1645"/>
      <c r="AA140" s="1375"/>
      <c r="AB140" s="1375"/>
      <c r="AC140" s="553"/>
      <c r="AD140" s="1375"/>
      <c r="AE140" s="1375"/>
      <c r="AF140" s="1375"/>
      <c r="AG140" s="1375"/>
      <c r="AH140" s="1375"/>
      <c r="AI140" s="1641"/>
      <c r="AJ140" s="631"/>
      <c r="AK140" s="631"/>
      <c r="AL140" s="631"/>
      <c r="AM140" s="631"/>
      <c r="AN140" s="1650">
        <v>11</v>
      </c>
    </row>
    <row s="1650" customFormat="1" customHeight="1" ht="11.549999999999999">
      <c r="A141" s="996"/>
      <c r="B141" s="996"/>
      <c r="C141" s="996"/>
      <c r="D141" s="996"/>
      <c r="E141" s="996"/>
      <c r="F141" s="1645"/>
      <c r="G141" s="1645"/>
      <c r="H141" s="360"/>
      <c r="N141" s="1650"/>
      <c r="O141" s="1650"/>
      <c r="P141" s="1650"/>
      <c r="Q141" s="1375"/>
      <c r="S141" s="1375"/>
      <c r="T141" s="1645"/>
      <c r="U141" s="1645"/>
      <c r="V141" s="1375"/>
      <c r="W141" s="1375"/>
      <c r="X141" s="1375"/>
      <c r="Y141" s="1375"/>
      <c r="Z141" s="1645"/>
      <c r="AA141" s="1375"/>
      <c r="AB141" s="1375"/>
      <c r="AC141" s="553"/>
      <c r="AD141" s="1375"/>
      <c r="AE141" s="1375"/>
      <c r="AF141" s="1375"/>
      <c r="AG141" s="1375"/>
      <c r="AH141" s="1375"/>
      <c r="AI141" s="1641"/>
      <c r="AJ141" s="631"/>
      <c r="AK141" s="631"/>
      <c r="AL141" s="631"/>
      <c r="AM141" s="631"/>
      <c r="AN141" s="1650">
        <v>11</v>
      </c>
    </row>
    <row s="1650" customFormat="1" customHeight="1" ht="11.549999999999999">
      <c r="A142" s="996"/>
      <c r="B142" s="996"/>
      <c r="C142" s="996"/>
      <c r="D142" s="996"/>
      <c r="E142" s="996"/>
      <c r="F142" s="1645"/>
      <c r="G142" s="1645"/>
      <c r="H142" s="360"/>
      <c r="N142" s="1650"/>
      <c r="O142" s="1650"/>
      <c r="P142" s="1650"/>
      <c r="Q142" s="1375"/>
      <c r="S142" s="1375"/>
      <c r="T142" s="1645"/>
      <c r="U142" s="1645"/>
      <c r="V142" s="1375"/>
      <c r="W142" s="1375"/>
      <c r="X142" s="1375"/>
      <c r="Y142" s="1375"/>
      <c r="Z142" s="1645"/>
      <c r="AA142" s="1375"/>
      <c r="AB142" s="1375"/>
      <c r="AC142" s="553"/>
      <c r="AD142" s="1375"/>
      <c r="AE142" s="1375"/>
      <c r="AF142" s="1375"/>
      <c r="AG142" s="1375"/>
      <c r="AH142" s="1375"/>
      <c r="AI142" s="1641"/>
      <c r="AJ142" s="631"/>
      <c r="AK142" s="631"/>
      <c r="AL142" s="631"/>
      <c r="AM142" s="631"/>
      <c r="AN142" s="1650">
        <v>11</v>
      </c>
    </row>
    <row s="1650" customFormat="1" customHeight="1" ht="11.549999999999999">
      <c r="A143" s="996"/>
      <c r="B143" s="996"/>
      <c r="C143" s="996"/>
      <c r="D143" s="996"/>
      <c r="E143" s="996"/>
      <c r="F143" s="1645"/>
      <c r="G143" s="1645"/>
      <c r="H143" s="360"/>
      <c r="N143" s="1650"/>
      <c r="O143" s="1650"/>
      <c r="P143" s="1650"/>
      <c r="Q143" s="1375"/>
      <c r="S143" s="1375"/>
      <c r="T143" s="1645"/>
      <c r="U143" s="1645"/>
      <c r="V143" s="1375"/>
      <c r="W143" s="1375"/>
      <c r="X143" s="1375"/>
      <c r="Y143" s="1375"/>
      <c r="Z143" s="1645"/>
      <c r="AA143" s="1375"/>
      <c r="AB143" s="1375"/>
      <c r="AC143" s="553"/>
      <c r="AD143" s="1375"/>
      <c r="AE143" s="1375"/>
      <c r="AF143" s="1375"/>
      <c r="AG143" s="1375"/>
      <c r="AH143" s="1375"/>
      <c r="AI143" s="1641"/>
      <c r="AJ143" s="631"/>
      <c r="AK143" s="631"/>
      <c r="AL143" s="631"/>
      <c r="AM143" s="631"/>
      <c r="AN143" s="1650">
        <v>11</v>
      </c>
    </row>
    <row s="1650" customFormat="1" customHeight="1" ht="11.549999999999999">
      <c r="A144" s="996"/>
      <c r="B144" s="996"/>
      <c r="C144" s="996"/>
      <c r="D144" s="996"/>
      <c r="E144" s="996"/>
      <c r="F144" s="1645"/>
      <c r="G144" s="1645"/>
      <c r="H144" s="360"/>
      <c r="N144" s="1650"/>
      <c r="O144" s="1650"/>
      <c r="P144" s="1650"/>
      <c r="Q144" s="1375"/>
      <c r="S144" s="1375"/>
      <c r="T144" s="1645"/>
      <c r="U144" s="1645"/>
      <c r="V144" s="1375"/>
      <c r="W144" s="1375"/>
      <c r="X144" s="1375"/>
      <c r="Y144" s="1375"/>
      <c r="Z144" s="1645"/>
      <c r="AA144" s="1375"/>
      <c r="AB144" s="1375"/>
      <c r="AC144" s="553"/>
      <c r="AD144" s="1375"/>
      <c r="AE144" s="1375"/>
      <c r="AF144" s="1375"/>
      <c r="AG144" s="1375"/>
      <c r="AH144" s="1375"/>
      <c r="AI144" s="1641"/>
      <c r="AJ144" s="631"/>
      <c r="AK144" s="631"/>
      <c r="AL144" s="631"/>
      <c r="AM144" s="631"/>
      <c r="AN144" s="1650">
        <v>11</v>
      </c>
    </row>
    <row s="1650" customFormat="1" customHeight="1" ht="11.549999999999999">
      <c r="A145" s="996"/>
      <c r="B145" s="996"/>
      <c r="C145" s="996"/>
      <c r="D145" s="996"/>
      <c r="E145" s="996"/>
      <c r="F145" s="1645"/>
      <c r="G145" s="1645"/>
      <c r="H145" s="360"/>
      <c r="N145" s="1650"/>
      <c r="O145" s="1650"/>
      <c r="P145" s="1650"/>
      <c r="Q145" s="1375"/>
      <c r="S145" s="1375"/>
      <c r="T145" s="1645"/>
      <c r="U145" s="1645"/>
      <c r="V145" s="1375"/>
      <c r="W145" s="1375"/>
      <c r="X145" s="1375"/>
      <c r="Y145" s="1375"/>
      <c r="Z145" s="1645"/>
      <c r="AA145" s="1375"/>
      <c r="AB145" s="1375"/>
      <c r="AC145" s="553"/>
      <c r="AD145" s="1375"/>
      <c r="AE145" s="1375"/>
      <c r="AF145" s="1375"/>
      <c r="AG145" s="1375"/>
      <c r="AH145" s="1375"/>
      <c r="AI145" s="1641"/>
      <c r="AJ145" s="631"/>
      <c r="AK145" s="631"/>
      <c r="AL145" s="631"/>
      <c r="AM145" s="631"/>
      <c r="AN145" s="1650">
        <v>11</v>
      </c>
    </row>
    <row s="1650" customFormat="1" customHeight="1" ht="11.549999999999999">
      <c r="A146" s="996"/>
      <c r="B146" s="996"/>
      <c r="C146" s="996"/>
      <c r="D146" s="996"/>
      <c r="E146" s="996"/>
      <c r="F146" s="1645"/>
      <c r="G146" s="1645"/>
      <c r="H146" s="360"/>
      <c r="N146" s="1650"/>
      <c r="O146" s="1650"/>
      <c r="P146" s="1650"/>
      <c r="Q146" s="1375"/>
      <c r="S146" s="1375"/>
      <c r="T146" s="1645"/>
      <c r="U146" s="1645"/>
      <c r="V146" s="1375"/>
      <c r="W146" s="1375"/>
      <c r="X146" s="1375"/>
      <c r="Y146" s="1375"/>
      <c r="Z146" s="1645"/>
      <c r="AA146" s="1375"/>
      <c r="AB146" s="1375"/>
      <c r="AC146" s="553"/>
      <c r="AD146" s="1375"/>
      <c r="AE146" s="1375"/>
      <c r="AF146" s="1375"/>
      <c r="AG146" s="1375"/>
      <c r="AH146" s="1375"/>
      <c r="AI146" s="1641"/>
      <c r="AJ146" s="631"/>
      <c r="AK146" s="631"/>
      <c r="AL146" s="631"/>
      <c r="AM146" s="631"/>
      <c r="AN146" s="1650">
        <v>11</v>
      </c>
    </row>
    <row s="1650" customFormat="1" customHeight="1" ht="11.549999999999999">
      <c r="A147" s="996"/>
      <c r="B147" s="996"/>
      <c r="C147" s="996"/>
      <c r="D147" s="996"/>
      <c r="E147" s="996"/>
      <c r="F147" s="1645"/>
      <c r="G147" s="1645"/>
      <c r="H147" s="360"/>
      <c r="N147" s="1650"/>
      <c r="O147" s="1650"/>
      <c r="P147" s="1650"/>
      <c r="Q147" s="1375"/>
      <c r="S147" s="1375"/>
      <c r="T147" s="1645"/>
      <c r="U147" s="1645"/>
      <c r="V147" s="1375"/>
      <c r="W147" s="1375"/>
      <c r="X147" s="1375"/>
      <c r="Y147" s="1375"/>
      <c r="Z147" s="1645"/>
      <c r="AA147" s="1375"/>
      <c r="AB147" s="1375"/>
      <c r="AC147" s="553"/>
      <c r="AD147" s="1375"/>
      <c r="AE147" s="1375"/>
      <c r="AF147" s="1375"/>
      <c r="AG147" s="1375"/>
      <c r="AH147" s="1375"/>
      <c r="AI147" s="1641"/>
      <c r="AJ147" s="631"/>
      <c r="AK147" s="631"/>
      <c r="AL147" s="631"/>
      <c r="AM147" s="631"/>
      <c r="AN147" s="1650">
        <v>11</v>
      </c>
    </row>
    <row s="1650" customFormat="1" customHeight="1" ht="11.549999999999999">
      <c r="A148" s="996"/>
      <c r="B148" s="996"/>
      <c r="C148" s="996"/>
      <c r="D148" s="996"/>
      <c r="E148" s="996"/>
      <c r="F148" s="1645"/>
      <c r="G148" s="1645"/>
      <c r="H148" s="360"/>
      <c r="N148" s="1650"/>
      <c r="O148" s="1650"/>
      <c r="P148" s="1650"/>
      <c r="Q148" s="1375"/>
      <c r="S148" s="1375"/>
      <c r="T148" s="1645"/>
      <c r="U148" s="1645"/>
      <c r="V148" s="1375"/>
      <c r="W148" s="1375"/>
      <c r="X148" s="1375"/>
      <c r="Y148" s="1375"/>
      <c r="Z148" s="1645"/>
      <c r="AA148" s="1375"/>
      <c r="AB148" s="1375"/>
      <c r="AC148" s="553"/>
      <c r="AD148" s="1375"/>
      <c r="AE148" s="1375"/>
      <c r="AF148" s="1375"/>
      <c r="AG148" s="1375"/>
      <c r="AH148" s="1375"/>
      <c r="AI148" s="1641"/>
      <c r="AJ148" s="631"/>
      <c r="AK148" s="631"/>
      <c r="AL148" s="631"/>
      <c r="AM148" s="631"/>
      <c r="AN148" s="1650">
        <v>11</v>
      </c>
    </row>
    <row s="1650" customFormat="1" customHeight="1" ht="11.549999999999999">
      <c r="A149" s="996"/>
      <c r="B149" s="996"/>
      <c r="C149" s="996"/>
      <c r="D149" s="996"/>
      <c r="E149" s="996"/>
      <c r="F149" s="1645"/>
      <c r="G149" s="1645"/>
      <c r="H149" s="360"/>
      <c r="N149" s="1650"/>
      <c r="O149" s="1650"/>
      <c r="P149" s="1650"/>
      <c r="Q149" s="1375"/>
      <c r="S149" s="1375"/>
      <c r="T149" s="1645"/>
      <c r="U149" s="1645"/>
      <c r="V149" s="1375"/>
      <c r="W149" s="1375"/>
      <c r="X149" s="1375"/>
      <c r="Y149" s="1375"/>
      <c r="Z149" s="1645"/>
      <c r="AA149" s="1375"/>
      <c r="AB149" s="1375"/>
      <c r="AC149" s="553"/>
      <c r="AD149" s="1375"/>
      <c r="AE149" s="1375"/>
      <c r="AF149" s="1375"/>
      <c r="AG149" s="1375"/>
      <c r="AH149" s="1375"/>
      <c r="AI149" s="1641"/>
      <c r="AJ149" s="631"/>
      <c r="AK149" s="631"/>
      <c r="AL149" s="631"/>
      <c r="AM149" s="631"/>
      <c r="AN149" s="1650">
        <v>11</v>
      </c>
    </row>
    <row s="1650" customFormat="1" customHeight="1" ht="11.549999999999999">
      <c r="A150" s="996"/>
      <c r="B150" s="996"/>
      <c r="C150" s="996"/>
      <c r="D150" s="996"/>
      <c r="E150" s="996"/>
      <c r="F150" s="1645"/>
      <c r="G150" s="1645"/>
      <c r="H150" s="360"/>
      <c r="N150" s="1650"/>
      <c r="O150" s="1650"/>
      <c r="P150" s="1650"/>
      <c r="Q150" s="1375"/>
      <c r="S150" s="1375"/>
      <c r="T150" s="1645"/>
      <c r="U150" s="1645"/>
      <c r="V150" s="1375"/>
      <c r="W150" s="1375"/>
      <c r="X150" s="1375"/>
      <c r="Y150" s="1375"/>
      <c r="Z150" s="1645"/>
      <c r="AA150" s="1375"/>
      <c r="AB150" s="1375"/>
      <c r="AC150" s="553"/>
      <c r="AD150" s="1375"/>
      <c r="AE150" s="1375"/>
      <c r="AF150" s="1375"/>
      <c r="AG150" s="1375"/>
      <c r="AH150" s="1375"/>
      <c r="AI150" s="1641"/>
      <c r="AJ150" s="631"/>
      <c r="AK150" s="631"/>
      <c r="AL150" s="631"/>
      <c r="AM150" s="631"/>
      <c r="AN150" s="1650">
        <v>11</v>
      </c>
    </row>
    <row s="1650" customFormat="1" customHeight="1" ht="11.549999999999999">
      <c r="A151" s="996"/>
      <c r="B151" s="996"/>
      <c r="C151" s="996"/>
      <c r="D151" s="996"/>
      <c r="E151" s="996"/>
      <c r="F151" s="1645"/>
      <c r="G151" s="1645"/>
      <c r="H151" s="360"/>
      <c r="N151" s="1650"/>
      <c r="O151" s="1650"/>
      <c r="P151" s="1650"/>
      <c r="Q151" s="1375"/>
      <c r="S151" s="1375"/>
      <c r="T151" s="1645"/>
      <c r="U151" s="1645"/>
      <c r="V151" s="1375"/>
      <c r="W151" s="1375"/>
      <c r="X151" s="1375"/>
      <c r="Y151" s="1375"/>
      <c r="Z151" s="1645"/>
      <c r="AA151" s="1375"/>
      <c r="AB151" s="1375"/>
      <c r="AC151" s="553"/>
      <c r="AD151" s="1375"/>
      <c r="AE151" s="1375"/>
      <c r="AF151" s="1375"/>
      <c r="AG151" s="1375"/>
      <c r="AH151" s="1375"/>
      <c r="AI151" s="1641"/>
      <c r="AJ151" s="631"/>
      <c r="AK151" s="631"/>
      <c r="AL151" s="631"/>
      <c r="AM151" s="631"/>
      <c r="AN151" s="1650">
        <v>11</v>
      </c>
    </row>
    <row s="1650" customFormat="1" customHeight="1" ht="11.549999999999999">
      <c r="A152" s="996"/>
      <c r="B152" s="996"/>
      <c r="C152" s="996"/>
      <c r="D152" s="996"/>
      <c r="E152" s="996"/>
      <c r="F152" s="1645"/>
      <c r="G152" s="1645"/>
      <c r="H152" s="360"/>
      <c r="N152" s="1650"/>
      <c r="O152" s="1650"/>
      <c r="P152" s="1650"/>
      <c r="Q152" s="1375"/>
      <c r="S152" s="1375"/>
      <c r="T152" s="1645"/>
      <c r="U152" s="1645"/>
      <c r="V152" s="1375"/>
      <c r="W152" s="1375"/>
      <c r="X152" s="1375"/>
      <c r="Y152" s="1375"/>
      <c r="Z152" s="1645"/>
      <c r="AA152" s="1375"/>
      <c r="AB152" s="1375"/>
      <c r="AC152" s="553"/>
      <c r="AD152" s="1375"/>
      <c r="AE152" s="1375"/>
      <c r="AF152" s="1375"/>
      <c r="AG152" s="1375"/>
      <c r="AH152" s="1375"/>
      <c r="AI152" s="1641"/>
      <c r="AJ152" s="631"/>
      <c r="AK152" s="631"/>
      <c r="AL152" s="631"/>
      <c r="AM152" s="631"/>
      <c r="AN152" s="1650">
        <v>11</v>
      </c>
    </row>
    <row s="1650" customFormat="1" customHeight="1" ht="11.549999999999999">
      <c r="A153" s="996"/>
      <c r="B153" s="996"/>
      <c r="C153" s="996"/>
      <c r="D153" s="996"/>
      <c r="E153" s="996"/>
      <c r="F153" s="1645"/>
      <c r="G153" s="1645"/>
      <c r="H153" s="360"/>
      <c r="N153" s="1650"/>
      <c r="O153" s="1650"/>
      <c r="P153" s="1650"/>
      <c r="Q153" s="1375"/>
      <c r="S153" s="1375"/>
      <c r="T153" s="1645"/>
      <c r="U153" s="1645"/>
      <c r="V153" s="1375"/>
      <c r="W153" s="1375"/>
      <c r="X153" s="1375"/>
      <c r="Y153" s="1375"/>
      <c r="Z153" s="1645"/>
      <c r="AA153" s="1375"/>
      <c r="AB153" s="1375"/>
      <c r="AC153" s="553"/>
      <c r="AD153" s="1375"/>
      <c r="AE153" s="1375"/>
      <c r="AF153" s="1375"/>
      <c r="AG153" s="1375"/>
      <c r="AH153" s="1375"/>
      <c r="AI153" s="1641"/>
      <c r="AJ153" s="631"/>
      <c r="AK153" s="631"/>
      <c r="AL153" s="631"/>
      <c r="AM153" s="631"/>
      <c r="AN153" s="1650">
        <v>11</v>
      </c>
    </row>
    <row s="1650" customFormat="1" customHeight="1" ht="11.549999999999999">
      <c r="A154" s="996"/>
      <c r="B154" s="996"/>
      <c r="C154" s="996"/>
      <c r="D154" s="996"/>
      <c r="E154" s="996"/>
      <c r="F154" s="1645"/>
      <c r="G154" s="1645"/>
      <c r="H154" s="360"/>
      <c r="N154" s="1650"/>
      <c r="O154" s="1650"/>
      <c r="P154" s="1650"/>
      <c r="Q154" s="1375"/>
      <c r="S154" s="1375"/>
      <c r="T154" s="1645"/>
      <c r="U154" s="1645"/>
      <c r="V154" s="1375"/>
      <c r="W154" s="1375"/>
      <c r="X154" s="1375"/>
      <c r="Y154" s="1375"/>
      <c r="Z154" s="1645"/>
      <c r="AA154" s="1375"/>
      <c r="AB154" s="1375"/>
      <c r="AC154" s="553"/>
      <c r="AD154" s="1375"/>
      <c r="AE154" s="1375"/>
      <c r="AF154" s="1375"/>
      <c r="AG154" s="1375"/>
      <c r="AH154" s="1375"/>
      <c r="AI154" s="1641"/>
      <c r="AJ154" s="631"/>
      <c r="AK154" s="631"/>
      <c r="AL154" s="631"/>
      <c r="AM154" s="631"/>
      <c r="AN154" s="1650">
        <v>11</v>
      </c>
    </row>
    <row s="1650" customFormat="1" customHeight="1" ht="11.549999999999999">
      <c r="A155" s="996"/>
      <c r="B155" s="996"/>
      <c r="C155" s="996"/>
      <c r="D155" s="996"/>
      <c r="E155" s="996"/>
      <c r="F155" s="1645"/>
      <c r="G155" s="1645"/>
      <c r="H155" s="360"/>
      <c r="N155" s="1650"/>
      <c r="O155" s="1650"/>
      <c r="P155" s="1650"/>
      <c r="Q155" s="1375"/>
      <c r="S155" s="1375"/>
      <c r="T155" s="1645"/>
      <c r="U155" s="1645"/>
      <c r="V155" s="1375"/>
      <c r="W155" s="1375"/>
      <c r="X155" s="1375"/>
      <c r="Y155" s="1375"/>
      <c r="Z155" s="1645"/>
      <c r="AA155" s="1375"/>
      <c r="AB155" s="1375"/>
      <c r="AC155" s="553"/>
      <c r="AD155" s="1375"/>
      <c r="AE155" s="1375"/>
      <c r="AF155" s="1375"/>
      <c r="AG155" s="1375"/>
      <c r="AH155" s="1375"/>
      <c r="AI155" s="1641"/>
      <c r="AJ155" s="631"/>
      <c r="AK155" s="631"/>
      <c r="AL155" s="631"/>
      <c r="AM155" s="631"/>
      <c r="AN155" s="1650">
        <v>11</v>
      </c>
    </row>
    <row s="1650" customFormat="1" customHeight="1" ht="11.549999999999999">
      <c r="A156" s="996"/>
      <c r="B156" s="996"/>
      <c r="C156" s="996"/>
      <c r="D156" s="996"/>
      <c r="E156" s="996"/>
      <c r="F156" s="1645"/>
      <c r="G156" s="1645"/>
      <c r="H156" s="360"/>
      <c r="N156" s="1650"/>
      <c r="O156" s="1650"/>
      <c r="P156" s="1650"/>
      <c r="Q156" s="1375"/>
      <c r="S156" s="1375"/>
      <c r="T156" s="1645"/>
      <c r="U156" s="1645"/>
      <c r="V156" s="1375"/>
      <c r="W156" s="1375"/>
      <c r="X156" s="1375"/>
      <c r="Y156" s="1375"/>
      <c r="Z156" s="1645"/>
      <c r="AA156" s="1375"/>
      <c r="AB156" s="1375"/>
      <c r="AC156" s="553"/>
      <c r="AD156" s="1375"/>
      <c r="AE156" s="1375"/>
      <c r="AF156" s="1375"/>
      <c r="AG156" s="1375"/>
      <c r="AH156" s="1375"/>
      <c r="AI156" s="1641"/>
      <c r="AJ156" s="631"/>
      <c r="AK156" s="631"/>
      <c r="AL156" s="631"/>
      <c r="AM156" s="631"/>
      <c r="AN156" s="1650">
        <v>11</v>
      </c>
    </row>
    <row s="1650" customFormat="1" customHeight="1" ht="11.549999999999999">
      <c r="A157" s="996"/>
      <c r="B157" s="996"/>
      <c r="C157" s="996"/>
      <c r="D157" s="996"/>
      <c r="E157" s="996"/>
      <c r="F157" s="1645"/>
      <c r="G157" s="1645"/>
      <c r="H157" s="360"/>
      <c r="N157" s="1650"/>
      <c r="O157" s="1650"/>
      <c r="P157" s="1650"/>
      <c r="Q157" s="1375"/>
      <c r="S157" s="1375"/>
      <c r="T157" s="1645"/>
      <c r="U157" s="1645"/>
      <c r="V157" s="1375"/>
      <c r="W157" s="1375"/>
      <c r="X157" s="1375"/>
      <c r="Y157" s="1375"/>
      <c r="Z157" s="1645"/>
      <c r="AA157" s="1375"/>
      <c r="AB157" s="1375"/>
      <c r="AC157" s="553"/>
      <c r="AD157" s="1375"/>
      <c r="AE157" s="1375"/>
      <c r="AF157" s="1375"/>
      <c r="AG157" s="1375"/>
      <c r="AH157" s="1375"/>
      <c r="AI157" s="1641"/>
      <c r="AJ157" s="631"/>
      <c r="AK157" s="631"/>
      <c r="AL157" s="631"/>
      <c r="AM157" s="631"/>
      <c r="AN157" s="1650">
        <v>11</v>
      </c>
    </row>
    <row s="1650" customFormat="1" customHeight="1" ht="11.549999999999999">
      <c r="A158" s="996"/>
      <c r="B158" s="996"/>
      <c r="C158" s="996"/>
      <c r="D158" s="996"/>
      <c r="E158" s="996"/>
      <c r="F158" s="1645"/>
      <c r="G158" s="1645"/>
      <c r="H158" s="360"/>
      <c r="N158" s="1650"/>
      <c r="O158" s="1650"/>
      <c r="P158" s="1650"/>
      <c r="Q158" s="1375"/>
      <c r="S158" s="1375"/>
      <c r="T158" s="1645"/>
      <c r="U158" s="1645"/>
      <c r="V158" s="1375"/>
      <c r="W158" s="1375"/>
      <c r="X158" s="1375"/>
      <c r="Y158" s="1375"/>
      <c r="Z158" s="1645"/>
      <c r="AA158" s="1375"/>
      <c r="AB158" s="1375"/>
      <c r="AC158" s="553"/>
      <c r="AD158" s="1375"/>
      <c r="AE158" s="1375"/>
      <c r="AF158" s="1375"/>
      <c r="AG158" s="1375"/>
      <c r="AH158" s="1375"/>
      <c r="AI158" s="1641"/>
      <c r="AJ158" s="631"/>
      <c r="AK158" s="631"/>
      <c r="AL158" s="631"/>
      <c r="AM158" s="631"/>
      <c r="AN158" s="1650">
        <v>11</v>
      </c>
    </row>
    <row s="1650" customFormat="1" customHeight="1" ht="11.549999999999999">
      <c r="A159" s="996"/>
      <c r="B159" s="996"/>
      <c r="C159" s="996"/>
      <c r="D159" s="996"/>
      <c r="E159" s="996"/>
      <c r="F159" s="1645"/>
      <c r="G159" s="1645"/>
      <c r="H159" s="360"/>
      <c r="N159" s="1650"/>
      <c r="O159" s="1650"/>
      <c r="P159" s="1650"/>
      <c r="Q159" s="1375"/>
      <c r="S159" s="1375"/>
      <c r="T159" s="1645"/>
      <c r="U159" s="1645"/>
      <c r="V159" s="1375"/>
      <c r="W159" s="1375"/>
      <c r="X159" s="1375"/>
      <c r="Y159" s="1375"/>
      <c r="Z159" s="1645"/>
      <c r="AA159" s="1375"/>
      <c r="AB159" s="1375"/>
      <c r="AC159" s="553"/>
      <c r="AD159" s="1375"/>
      <c r="AE159" s="1375"/>
      <c r="AF159" s="1375"/>
      <c r="AG159" s="1375"/>
      <c r="AH159" s="1375"/>
      <c r="AI159" s="1641"/>
      <c r="AJ159" s="631"/>
      <c r="AK159" s="631"/>
      <c r="AL159" s="631"/>
      <c r="AM159" s="631"/>
      <c r="AN159" s="1650">
        <v>11</v>
      </c>
    </row>
    <row s="1650" customFormat="1" customHeight="1" ht="11.549999999999999">
      <c r="A160" s="996"/>
      <c r="B160" s="996"/>
      <c r="C160" s="996"/>
      <c r="D160" s="996"/>
      <c r="E160" s="996"/>
      <c r="F160" s="1645"/>
      <c r="G160" s="1645"/>
      <c r="H160" s="360"/>
      <c r="N160" s="1650"/>
      <c r="O160" s="1650"/>
      <c r="P160" s="1650"/>
      <c r="Q160" s="1375"/>
      <c r="S160" s="1375"/>
      <c r="T160" s="1645"/>
      <c r="U160" s="1645"/>
      <c r="V160" s="1375"/>
      <c r="W160" s="1375"/>
      <c r="X160" s="1375"/>
      <c r="Y160" s="1375"/>
      <c r="Z160" s="1645"/>
      <c r="AA160" s="1375"/>
      <c r="AB160" s="1375"/>
      <c r="AC160" s="553"/>
      <c r="AD160" s="1375"/>
      <c r="AE160" s="1375"/>
      <c r="AF160" s="1375"/>
      <c r="AG160" s="1375"/>
      <c r="AH160" s="1375"/>
      <c r="AI160" s="1641"/>
      <c r="AJ160" s="631"/>
      <c r="AK160" s="631"/>
      <c r="AL160" s="631"/>
      <c r="AM160" s="631"/>
      <c r="AN160" s="1650">
        <v>11</v>
      </c>
    </row>
    <row s="1650" customFormat="1" customHeight="1" ht="11.549999999999999">
      <c r="A161" s="996"/>
      <c r="B161" s="996"/>
      <c r="C161" s="996"/>
      <c r="D161" s="996"/>
      <c r="E161" s="996"/>
      <c r="F161" s="1645"/>
      <c r="G161" s="1645"/>
      <c r="H161" s="360"/>
      <c r="N161" s="1650"/>
      <c r="O161" s="1650"/>
      <c r="P161" s="1650"/>
      <c r="Q161" s="1375"/>
      <c r="S161" s="1375"/>
      <c r="T161" s="1645"/>
      <c r="U161" s="1645"/>
      <c r="V161" s="1375"/>
      <c r="W161" s="1375"/>
      <c r="X161" s="1375"/>
      <c r="Y161" s="1375"/>
      <c r="Z161" s="1645"/>
      <c r="AA161" s="1375"/>
      <c r="AB161" s="1375"/>
      <c r="AC161" s="553"/>
      <c r="AD161" s="1375"/>
      <c r="AE161" s="1375"/>
      <c r="AF161" s="1375"/>
      <c r="AG161" s="1375"/>
      <c r="AH161" s="1375"/>
      <c r="AI161" s="1641"/>
      <c r="AJ161" s="631"/>
      <c r="AK161" s="631"/>
      <c r="AL161" s="631"/>
      <c r="AM161" s="631"/>
      <c r="AN161" s="1650">
        <v>11</v>
      </c>
    </row>
    <row s="1650" customFormat="1" customHeight="1" ht="11.549999999999999">
      <c r="A162" s="996"/>
      <c r="B162" s="996"/>
      <c r="C162" s="996"/>
      <c r="D162" s="996"/>
      <c r="E162" s="996"/>
      <c r="F162" s="1645"/>
      <c r="G162" s="1645"/>
      <c r="H162" s="360"/>
      <c r="N162" s="1650"/>
      <c r="O162" s="1650"/>
      <c r="P162" s="1650"/>
      <c r="Q162" s="1375"/>
      <c r="S162" s="1375"/>
      <c r="T162" s="1645"/>
      <c r="U162" s="1645"/>
      <c r="V162" s="1375"/>
      <c r="W162" s="1375"/>
      <c r="X162" s="1375"/>
      <c r="Y162" s="1375"/>
      <c r="Z162" s="1645"/>
      <c r="AA162" s="1375"/>
      <c r="AB162" s="1375"/>
      <c r="AC162" s="553"/>
      <c r="AD162" s="1375"/>
      <c r="AE162" s="1375"/>
      <c r="AF162" s="1375"/>
      <c r="AG162" s="1375"/>
      <c r="AH162" s="1375"/>
      <c r="AI162" s="1641"/>
      <c r="AJ162" s="631"/>
      <c r="AK162" s="631"/>
      <c r="AL162" s="631"/>
      <c r="AM162" s="631"/>
      <c r="AN162" s="1650">
        <v>11</v>
      </c>
    </row>
    <row s="1650" customFormat="1" customHeight="1" ht="11.549999999999999">
      <c r="A163" s="996"/>
      <c r="B163" s="996"/>
      <c r="C163" s="996"/>
      <c r="D163" s="996"/>
      <c r="E163" s="996"/>
      <c r="F163" s="1645"/>
      <c r="G163" s="1645"/>
      <c r="H163" s="360"/>
      <c r="N163" s="1650"/>
      <c r="O163" s="1650"/>
      <c r="P163" s="1650"/>
      <c r="Q163" s="1375"/>
      <c r="S163" s="1375"/>
      <c r="T163" s="1645"/>
      <c r="U163" s="1645"/>
      <c r="V163" s="1375"/>
      <c r="W163" s="1375"/>
      <c r="X163" s="1375"/>
      <c r="Y163" s="1375"/>
      <c r="Z163" s="1645"/>
      <c r="AA163" s="1375"/>
      <c r="AB163" s="1375"/>
      <c r="AC163" s="553"/>
      <c r="AD163" s="1375"/>
      <c r="AE163" s="1375"/>
      <c r="AF163" s="1375"/>
      <c r="AG163" s="1375"/>
      <c r="AH163" s="1375"/>
      <c r="AI163" s="1641"/>
      <c r="AJ163" s="631"/>
      <c r="AK163" s="631"/>
      <c r="AL163" s="631"/>
      <c r="AM163" s="631"/>
      <c r="AN163" s="1650">
        <v>11</v>
      </c>
    </row>
    <row s="1650" customFormat="1" customHeight="1" ht="11.549999999999999">
      <c r="A164" s="996"/>
      <c r="B164" s="996"/>
      <c r="C164" s="996"/>
      <c r="D164" s="996"/>
      <c r="E164" s="996"/>
      <c r="F164" s="1645"/>
      <c r="G164" s="1645"/>
      <c r="H164" s="360"/>
      <c r="N164" s="1650"/>
      <c r="O164" s="1650"/>
      <c r="P164" s="1650"/>
      <c r="Q164" s="1375"/>
      <c r="S164" s="1375"/>
      <c r="T164" s="1645"/>
      <c r="U164" s="1645"/>
      <c r="V164" s="1375"/>
      <c r="W164" s="1375"/>
      <c r="X164" s="1375"/>
      <c r="Y164" s="1375"/>
      <c r="Z164" s="1645"/>
      <c r="AA164" s="1375"/>
      <c r="AB164" s="1375"/>
      <c r="AC164" s="553"/>
      <c r="AD164" s="1375"/>
      <c r="AE164" s="1375"/>
      <c r="AF164" s="1375"/>
      <c r="AG164" s="1375"/>
      <c r="AH164" s="1375"/>
      <c r="AI164" s="1641"/>
      <c r="AJ164" s="631"/>
      <c r="AK164" s="631"/>
      <c r="AL164" s="631"/>
      <c r="AM164" s="631"/>
      <c r="AN164" s="1650">
        <v>11</v>
      </c>
    </row>
    <row s="1650" customFormat="1" customHeight="1" ht="11.549999999999999">
      <c r="A165" s="996"/>
      <c r="B165" s="996"/>
      <c r="C165" s="996"/>
      <c r="D165" s="996"/>
      <c r="E165" s="996"/>
      <c r="F165" s="1645"/>
      <c r="G165" s="1645"/>
      <c r="H165" s="360"/>
      <c r="N165" s="1650"/>
      <c r="O165" s="1650"/>
      <c r="P165" s="1650"/>
      <c r="Q165" s="1375"/>
      <c r="S165" s="1375"/>
      <c r="T165" s="1645"/>
      <c r="U165" s="1645"/>
      <c r="V165" s="1375"/>
      <c r="W165" s="1375"/>
      <c r="X165" s="1375"/>
      <c r="Y165" s="1375"/>
      <c r="Z165" s="1645"/>
      <c r="AA165" s="1375"/>
      <c r="AB165" s="1375"/>
      <c r="AC165" s="553"/>
      <c r="AD165" s="1375"/>
      <c r="AE165" s="1375"/>
      <c r="AF165" s="1375"/>
      <c r="AG165" s="1375"/>
      <c r="AH165" s="1375"/>
      <c r="AI165" s="1641"/>
      <c r="AJ165" s="631"/>
      <c r="AK165" s="631"/>
      <c r="AL165" s="631"/>
      <c r="AM165" s="631"/>
      <c r="AN165" s="1650">
        <v>11</v>
      </c>
    </row>
    <row s="1650" customFormat="1" customHeight="1" ht="11.549999999999999">
      <c r="A166" s="996"/>
      <c r="B166" s="996"/>
      <c r="C166" s="996"/>
      <c r="D166" s="996"/>
      <c r="E166" s="996"/>
      <c r="F166" s="1645"/>
      <c r="G166" s="1645"/>
      <c r="H166" s="360"/>
      <c r="N166" s="1650"/>
      <c r="O166" s="1650"/>
      <c r="P166" s="1650"/>
      <c r="Q166" s="1375"/>
      <c r="S166" s="1375"/>
      <c r="T166" s="1645"/>
      <c r="U166" s="1645"/>
      <c r="V166" s="1375"/>
      <c r="W166" s="1375"/>
      <c r="X166" s="1375"/>
      <c r="Y166" s="1375"/>
      <c r="Z166" s="1645"/>
      <c r="AA166" s="1375"/>
      <c r="AB166" s="1375"/>
      <c r="AC166" s="553"/>
      <c r="AD166" s="1375"/>
      <c r="AE166" s="1375"/>
      <c r="AF166" s="1375"/>
      <c r="AG166" s="1375"/>
      <c r="AH166" s="1375"/>
      <c r="AI166" s="1641"/>
      <c r="AJ166" s="631"/>
      <c r="AK166" s="631"/>
      <c r="AL166" s="631"/>
      <c r="AM166" s="631"/>
      <c r="AN166" s="1650">
        <v>11</v>
      </c>
    </row>
    <row s="1650" customFormat="1" customHeight="1" ht="11.549999999999999">
      <c r="A167" s="996"/>
      <c r="B167" s="996"/>
      <c r="C167" s="996"/>
      <c r="D167" s="996"/>
      <c r="E167" s="996"/>
      <c r="F167" s="1645"/>
      <c r="G167" s="1645"/>
      <c r="H167" s="360"/>
      <c r="N167" s="1650"/>
      <c r="O167" s="1650"/>
      <c r="P167" s="1650"/>
      <c r="Q167" s="1375"/>
      <c r="S167" s="1375"/>
      <c r="T167" s="1645"/>
      <c r="U167" s="1645"/>
      <c r="V167" s="1375"/>
      <c r="W167" s="1375"/>
      <c r="X167" s="1375"/>
      <c r="Y167" s="1375"/>
      <c r="Z167" s="1645"/>
      <c r="AA167" s="1375"/>
      <c r="AB167" s="1375"/>
      <c r="AC167" s="553"/>
      <c r="AD167" s="1375"/>
      <c r="AE167" s="1375"/>
      <c r="AF167" s="1375"/>
      <c r="AG167" s="1375"/>
      <c r="AH167" s="1375"/>
      <c r="AI167" s="1641"/>
      <c r="AJ167" s="631"/>
      <c r="AK167" s="631"/>
      <c r="AL167" s="631"/>
      <c r="AM167" s="631"/>
      <c r="AN167" s="1650">
        <v>11</v>
      </c>
    </row>
    <row s="1650" customFormat="1" customHeight="1" ht="11.549999999999999">
      <c r="A168" s="996"/>
      <c r="B168" s="996"/>
      <c r="C168" s="996"/>
      <c r="D168" s="996"/>
      <c r="E168" s="996"/>
      <c r="F168" s="1645"/>
      <c r="G168" s="1645"/>
      <c r="H168" s="360"/>
      <c r="N168" s="1650"/>
      <c r="O168" s="1650"/>
      <c r="P168" s="1650"/>
      <c r="Q168" s="1375"/>
      <c r="S168" s="1375"/>
      <c r="T168" s="1645"/>
      <c r="U168" s="1645"/>
      <c r="V168" s="1375"/>
      <c r="W168" s="1375"/>
      <c r="X168" s="1375"/>
      <c r="Y168" s="1375"/>
      <c r="Z168" s="1645"/>
      <c r="AA168" s="1375"/>
      <c r="AB168" s="1375"/>
      <c r="AC168" s="553"/>
      <c r="AD168" s="1375"/>
      <c r="AE168" s="1375"/>
      <c r="AF168" s="1375"/>
      <c r="AG168" s="1375"/>
      <c r="AH168" s="1375"/>
      <c r="AI168" s="1641"/>
      <c r="AJ168" s="631"/>
      <c r="AK168" s="631"/>
      <c r="AL168" s="631"/>
      <c r="AM168" s="631"/>
      <c r="AN168" s="1650">
        <v>11</v>
      </c>
    </row>
    <row s="1650" customFormat="1" customHeight="1" ht="11.549999999999999">
      <c r="A169" s="996"/>
      <c r="B169" s="996"/>
      <c r="C169" s="996"/>
      <c r="D169" s="996"/>
      <c r="E169" s="996"/>
      <c r="F169" s="1645"/>
      <c r="G169" s="1645"/>
      <c r="H169" s="360"/>
      <c r="N169" s="1650"/>
      <c r="O169" s="1650"/>
      <c r="P169" s="1650"/>
      <c r="Q169" s="1375"/>
      <c r="S169" s="1375"/>
      <c r="T169" s="1645"/>
      <c r="U169" s="1645"/>
      <c r="V169" s="1375"/>
      <c r="W169" s="1375"/>
      <c r="X169" s="1375"/>
      <c r="Y169" s="1375"/>
      <c r="Z169" s="1645"/>
      <c r="AA169" s="1375"/>
      <c r="AB169" s="1375"/>
      <c r="AC169" s="553"/>
      <c r="AD169" s="1375"/>
      <c r="AE169" s="1375"/>
      <c r="AF169" s="1375"/>
      <c r="AG169" s="1375"/>
      <c r="AH169" s="1375"/>
      <c r="AI169" s="1641"/>
      <c r="AJ169" s="631"/>
      <c r="AK169" s="631"/>
      <c r="AL169" s="631"/>
      <c r="AM169" s="631"/>
      <c r="AN169" s="1650">
        <v>11</v>
      </c>
    </row>
    <row s="1650" customFormat="1" customHeight="1" ht="11.549999999999999">
      <c r="A170" s="996"/>
      <c r="B170" s="996"/>
      <c r="C170" s="996"/>
      <c r="D170" s="996"/>
      <c r="E170" s="996"/>
      <c r="F170" s="1645"/>
      <c r="G170" s="1645"/>
      <c r="H170" s="360"/>
      <c r="N170" s="1650"/>
      <c r="O170" s="1650"/>
      <c r="P170" s="1650"/>
      <c r="Q170" s="1375"/>
      <c r="S170" s="1375"/>
      <c r="T170" s="1645"/>
      <c r="U170" s="1645"/>
      <c r="V170" s="1375"/>
      <c r="W170" s="1375"/>
      <c r="X170" s="1375"/>
      <c r="Y170" s="1375"/>
      <c r="Z170" s="1645"/>
      <c r="AA170" s="1375"/>
      <c r="AB170" s="1375"/>
      <c r="AC170" s="553"/>
      <c r="AD170" s="1375"/>
      <c r="AE170" s="1375"/>
      <c r="AF170" s="1375"/>
      <c r="AG170" s="1375"/>
      <c r="AH170" s="1375"/>
      <c r="AI170" s="1641"/>
      <c r="AJ170" s="631"/>
      <c r="AK170" s="631"/>
      <c r="AL170" s="631"/>
      <c r="AM170" s="631"/>
      <c r="AN170" s="1650">
        <v>11</v>
      </c>
    </row>
    <row s="1650" customFormat="1" customHeight="1" ht="11.549999999999999">
      <c r="A171" s="996"/>
      <c r="B171" s="996"/>
      <c r="C171" s="996"/>
      <c r="D171" s="996"/>
      <c r="E171" s="996"/>
      <c r="F171" s="1645"/>
      <c r="G171" s="1645"/>
      <c r="H171" s="360"/>
      <c r="N171" s="1650"/>
      <c r="O171" s="1650"/>
      <c r="P171" s="1650"/>
      <c r="Q171" s="1375"/>
      <c r="S171" s="1375"/>
      <c r="T171" s="1645"/>
      <c r="U171" s="1645"/>
      <c r="V171" s="1375"/>
      <c r="W171" s="1375"/>
      <c r="X171" s="1375"/>
      <c r="Y171" s="1375"/>
      <c r="Z171" s="1645"/>
      <c r="AA171" s="1375"/>
      <c r="AB171" s="1375"/>
      <c r="AC171" s="553"/>
      <c r="AD171" s="1375"/>
      <c r="AE171" s="1375"/>
      <c r="AF171" s="1375"/>
      <c r="AG171" s="1375"/>
      <c r="AH171" s="1375"/>
      <c r="AI171" s="1641"/>
      <c r="AJ171" s="631"/>
      <c r="AK171" s="631"/>
      <c r="AL171" s="631"/>
      <c r="AM171" s="631"/>
      <c r="AN171" s="1650">
        <v>11</v>
      </c>
    </row>
    <row s="1650" customFormat="1" customHeight="1" ht="11.549999999999999">
      <c r="A172" s="996"/>
      <c r="B172" s="996"/>
      <c r="C172" s="996"/>
      <c r="D172" s="996"/>
      <c r="E172" s="996"/>
      <c r="F172" s="1645"/>
      <c r="G172" s="1645"/>
      <c r="H172" s="360"/>
      <c r="N172" s="1650"/>
      <c r="O172" s="1650"/>
      <c r="P172" s="1650"/>
      <c r="Q172" s="1375"/>
      <c r="S172" s="1375"/>
      <c r="T172" s="1645"/>
      <c r="U172" s="1645"/>
      <c r="V172" s="1375"/>
      <c r="W172" s="1375"/>
      <c r="X172" s="1375"/>
      <c r="Y172" s="1375"/>
      <c r="Z172" s="1645"/>
      <c r="AA172" s="1375"/>
      <c r="AB172" s="1375"/>
      <c r="AC172" s="553"/>
      <c r="AD172" s="1375"/>
      <c r="AE172" s="1375"/>
      <c r="AF172" s="1375"/>
      <c r="AG172" s="1375"/>
      <c r="AH172" s="1375"/>
      <c r="AI172" s="1641"/>
      <c r="AJ172" s="631"/>
      <c r="AK172" s="631"/>
      <c r="AL172" s="631"/>
      <c r="AM172" s="631"/>
      <c r="AN172" s="1650">
        <v>11</v>
      </c>
    </row>
    <row s="1650" customFormat="1" customHeight="1" ht="11.549999999999999">
      <c r="A173" s="996"/>
      <c r="B173" s="996"/>
      <c r="C173" s="996"/>
      <c r="D173" s="996"/>
      <c r="E173" s="996"/>
      <c r="F173" s="1645"/>
      <c r="G173" s="1645"/>
      <c r="H173" s="360"/>
      <c r="N173" s="1650"/>
      <c r="O173" s="1650"/>
      <c r="P173" s="1650"/>
      <c r="Q173" s="1375"/>
      <c r="S173" s="1375"/>
      <c r="T173" s="1645"/>
      <c r="U173" s="1645"/>
      <c r="V173" s="1375"/>
      <c r="W173" s="1375"/>
      <c r="X173" s="1375"/>
      <c r="Y173" s="1375"/>
      <c r="Z173" s="1645"/>
      <c r="AA173" s="1375"/>
      <c r="AB173" s="1375"/>
      <c r="AC173" s="553"/>
      <c r="AD173" s="1375"/>
      <c r="AE173" s="1375"/>
      <c r="AF173" s="1375"/>
      <c r="AG173" s="1375"/>
      <c r="AH173" s="1375"/>
      <c r="AI173" s="1641"/>
      <c r="AJ173" s="631"/>
      <c r="AK173" s="631"/>
      <c r="AL173" s="631"/>
      <c r="AM173" s="631"/>
      <c r="AN173" s="1650">
        <v>11</v>
      </c>
    </row>
    <row s="1650" customFormat="1" customHeight="1" ht="11.549999999999999">
      <c r="A174" s="996"/>
      <c r="B174" s="996"/>
      <c r="C174" s="996"/>
      <c r="D174" s="996"/>
      <c r="E174" s="996"/>
      <c r="F174" s="1645"/>
      <c r="G174" s="1645"/>
      <c r="H174" s="360"/>
      <c r="N174" s="1650"/>
      <c r="O174" s="1650"/>
      <c r="P174" s="1650"/>
      <c r="Q174" s="1375"/>
      <c r="S174" s="1375"/>
      <c r="T174" s="1645"/>
      <c r="U174" s="1645"/>
      <c r="V174" s="1375"/>
      <c r="W174" s="1375"/>
      <c r="X174" s="1375"/>
      <c r="Y174" s="1375"/>
      <c r="Z174" s="1645"/>
      <c r="AA174" s="1375"/>
      <c r="AB174" s="1375"/>
      <c r="AC174" s="553"/>
      <c r="AD174" s="1375"/>
      <c r="AE174" s="1375"/>
      <c r="AF174" s="1375"/>
      <c r="AG174" s="1375"/>
      <c r="AH174" s="1375"/>
      <c r="AI174" s="1641"/>
      <c r="AJ174" s="631"/>
      <c r="AK174" s="631"/>
      <c r="AL174" s="631"/>
      <c r="AM174" s="631"/>
      <c r="AN174" s="1650">
        <v>11</v>
      </c>
    </row>
    <row s="1650" customFormat="1" customHeight="1" ht="11.549999999999999">
      <c r="A175" s="996"/>
      <c r="B175" s="996"/>
      <c r="C175" s="996"/>
      <c r="D175" s="996"/>
      <c r="E175" s="996"/>
      <c r="F175" s="1645"/>
      <c r="G175" s="1645"/>
      <c r="H175" s="360"/>
      <c r="N175" s="1650"/>
      <c r="O175" s="1650"/>
      <c r="P175" s="1650"/>
      <c r="Q175" s="1375"/>
      <c r="S175" s="1375"/>
      <c r="T175" s="1645"/>
      <c r="U175" s="1645"/>
      <c r="V175" s="1375"/>
      <c r="W175" s="1375"/>
      <c r="X175" s="1375"/>
      <c r="Y175" s="1375"/>
      <c r="Z175" s="1645"/>
      <c r="AA175" s="1375"/>
      <c r="AB175" s="1375"/>
      <c r="AC175" s="553"/>
      <c r="AD175" s="1375"/>
      <c r="AE175" s="1375"/>
      <c r="AF175" s="1375"/>
      <c r="AG175" s="1375"/>
      <c r="AH175" s="1375"/>
      <c r="AI175" s="1641"/>
      <c r="AJ175" s="631"/>
      <c r="AK175" s="631"/>
      <c r="AL175" s="631"/>
      <c r="AM175" s="631"/>
      <c r="AN175" s="1650">
        <v>11</v>
      </c>
    </row>
    <row s="1650" customFormat="1" customHeight="1" ht="11.549999999999999">
      <c r="A176" s="996"/>
      <c r="B176" s="996"/>
      <c r="C176" s="996"/>
      <c r="D176" s="996"/>
      <c r="E176" s="996"/>
      <c r="F176" s="1645"/>
      <c r="G176" s="1645"/>
      <c r="H176" s="360"/>
      <c r="N176" s="1650"/>
      <c r="O176" s="1650"/>
      <c r="P176" s="1650"/>
      <c r="Q176" s="1375"/>
      <c r="S176" s="1375"/>
      <c r="T176" s="1645"/>
      <c r="U176" s="1645"/>
      <c r="V176" s="1375"/>
      <c r="W176" s="1375"/>
      <c r="X176" s="1375"/>
      <c r="Y176" s="1375"/>
      <c r="Z176" s="1645"/>
      <c r="AA176" s="1375"/>
      <c r="AB176" s="1375"/>
      <c r="AC176" s="553"/>
      <c r="AD176" s="1375"/>
      <c r="AE176" s="1375"/>
      <c r="AF176" s="1375"/>
      <c r="AG176" s="1375"/>
      <c r="AH176" s="1375"/>
      <c r="AI176" s="1641"/>
      <c r="AJ176" s="631"/>
      <c r="AK176" s="631"/>
      <c r="AL176" s="631"/>
      <c r="AM176" s="631"/>
      <c r="AN176" s="1650">
        <v>11</v>
      </c>
    </row>
    <row s="1650" customFormat="1" customHeight="1" ht="11.549999999999999">
      <c r="A177" s="996"/>
      <c r="B177" s="996"/>
      <c r="C177" s="996"/>
      <c r="D177" s="996"/>
      <c r="E177" s="996"/>
      <c r="F177" s="1645"/>
      <c r="G177" s="1645"/>
      <c r="H177" s="360"/>
      <c r="N177" s="1650"/>
      <c r="O177" s="1650"/>
      <c r="P177" s="1650"/>
      <c r="Q177" s="1375"/>
      <c r="S177" s="1375"/>
      <c r="T177" s="1645"/>
      <c r="U177" s="1645"/>
      <c r="V177" s="1375"/>
      <c r="W177" s="1375"/>
      <c r="X177" s="1375"/>
      <c r="Y177" s="1375"/>
      <c r="Z177" s="1645"/>
      <c r="AA177" s="1375"/>
      <c r="AB177" s="1375"/>
      <c r="AC177" s="553"/>
      <c r="AD177" s="1375"/>
      <c r="AE177" s="1375"/>
      <c r="AF177" s="1375"/>
      <c r="AG177" s="1375"/>
      <c r="AH177" s="1375"/>
      <c r="AI177" s="1641"/>
      <c r="AJ177" s="631"/>
      <c r="AK177" s="631"/>
      <c r="AL177" s="631"/>
      <c r="AM177" s="631"/>
      <c r="AN177" s="1650">
        <v>11</v>
      </c>
    </row>
    <row s="1650" customFormat="1" customHeight="1" ht="11.549999999999999">
      <c r="A178" s="996"/>
      <c r="B178" s="996"/>
      <c r="C178" s="996"/>
      <c r="D178" s="996"/>
      <c r="E178" s="996"/>
      <c r="F178" s="1645"/>
      <c r="G178" s="1645"/>
      <c r="H178" s="360"/>
      <c r="N178" s="1650"/>
      <c r="O178" s="1650"/>
      <c r="P178" s="1650"/>
      <c r="Q178" s="1375"/>
      <c r="S178" s="1375"/>
      <c r="T178" s="1645"/>
      <c r="U178" s="1645"/>
      <c r="V178" s="1375"/>
      <c r="W178" s="1375"/>
      <c r="X178" s="1375"/>
      <c r="Y178" s="1375"/>
      <c r="Z178" s="1645"/>
      <c r="AA178" s="1375"/>
      <c r="AB178" s="1375"/>
      <c r="AC178" s="553"/>
      <c r="AD178" s="1375"/>
      <c r="AE178" s="1375"/>
      <c r="AF178" s="1375"/>
      <c r="AG178" s="1375"/>
      <c r="AH178" s="1375"/>
      <c r="AI178" s="1641"/>
      <c r="AJ178" s="631"/>
      <c r="AK178" s="631"/>
      <c r="AL178" s="631"/>
      <c r="AM178" s="631"/>
      <c r="AN178" s="1650">
        <v>11</v>
      </c>
    </row>
    <row s="1650" customFormat="1" customHeight="1" ht="11.549999999999999">
      <c r="A179" s="996"/>
      <c r="B179" s="996"/>
      <c r="C179" s="996"/>
      <c r="D179" s="996"/>
      <c r="E179" s="996"/>
      <c r="F179" s="1645"/>
      <c r="G179" s="1645"/>
      <c r="H179" s="360"/>
      <c r="N179" s="1650"/>
      <c r="O179" s="1650"/>
      <c r="P179" s="1650"/>
      <c r="Q179" s="1375"/>
      <c r="S179" s="1375"/>
      <c r="T179" s="1645"/>
      <c r="U179" s="1645"/>
      <c r="V179" s="1375"/>
      <c r="W179" s="1375"/>
      <c r="X179" s="1375"/>
      <c r="Y179" s="1375"/>
      <c r="Z179" s="1645"/>
      <c r="AA179" s="1375"/>
      <c r="AB179" s="1375"/>
      <c r="AC179" s="553"/>
      <c r="AD179" s="1375"/>
      <c r="AE179" s="1375"/>
      <c r="AF179" s="1375"/>
      <c r="AG179" s="1375"/>
      <c r="AH179" s="1375"/>
      <c r="AI179" s="1641"/>
      <c r="AJ179" s="631"/>
      <c r="AK179" s="631"/>
      <c r="AL179" s="631"/>
      <c r="AM179" s="631"/>
      <c r="AN179" s="1650">
        <v>11</v>
      </c>
    </row>
    <row s="1650" customFormat="1" customHeight="1" ht="11.549999999999999">
      <c r="A180" s="996"/>
      <c r="B180" s="996"/>
      <c r="C180" s="996"/>
      <c r="D180" s="996"/>
      <c r="E180" s="996"/>
      <c r="F180" s="1645"/>
      <c r="G180" s="1645"/>
      <c r="H180" s="360"/>
      <c r="N180" s="1650"/>
      <c r="O180" s="1650"/>
      <c r="P180" s="1650"/>
      <c r="Q180" s="1375"/>
      <c r="S180" s="1375"/>
      <c r="T180" s="1645"/>
      <c r="U180" s="1645"/>
      <c r="V180" s="1375"/>
      <c r="W180" s="1375"/>
      <c r="X180" s="1375"/>
      <c r="Y180" s="1375"/>
      <c r="Z180" s="1645"/>
      <c r="AA180" s="1375"/>
      <c r="AB180" s="1375"/>
      <c r="AC180" s="553"/>
      <c r="AD180" s="1375"/>
      <c r="AE180" s="1375"/>
      <c r="AF180" s="1375"/>
      <c r="AG180" s="1375"/>
      <c r="AH180" s="1375"/>
      <c r="AI180" s="1641"/>
      <c r="AJ180" s="631"/>
      <c r="AK180" s="631"/>
      <c r="AL180" s="631"/>
      <c r="AM180" s="631"/>
      <c r="AN180" s="1650">
        <v>11</v>
      </c>
    </row>
    <row s="1650" customFormat="1" customHeight="1" ht="11.549999999999999">
      <c r="A181" s="996"/>
      <c r="B181" s="996"/>
      <c r="C181" s="996"/>
      <c r="D181" s="996"/>
      <c r="E181" s="996"/>
      <c r="F181" s="1645"/>
      <c r="G181" s="1645"/>
      <c r="H181" s="360"/>
      <c r="N181" s="1650"/>
      <c r="O181" s="1650"/>
      <c r="P181" s="1650"/>
      <c r="Q181" s="1375"/>
      <c r="S181" s="1375"/>
      <c r="T181" s="1645"/>
      <c r="U181" s="1645"/>
      <c r="V181" s="1375"/>
      <c r="W181" s="1375"/>
      <c r="X181" s="1375"/>
      <c r="Y181" s="1375"/>
      <c r="Z181" s="1645"/>
      <c r="AA181" s="1375"/>
      <c r="AB181" s="1375"/>
      <c r="AC181" s="553"/>
      <c r="AD181" s="1375"/>
      <c r="AE181" s="1375"/>
      <c r="AF181" s="1375"/>
      <c r="AG181" s="1375"/>
      <c r="AH181" s="1375"/>
      <c r="AI181" s="1641"/>
      <c r="AJ181" s="631"/>
      <c r="AK181" s="631"/>
      <c r="AL181" s="631"/>
      <c r="AM181" s="631"/>
      <c r="AN181" s="1650">
        <v>11</v>
      </c>
    </row>
    <row s="1650" customFormat="1" customHeight="1" ht="11.549999999999999">
      <c r="A182" s="996"/>
      <c r="B182" s="996"/>
      <c r="C182" s="996"/>
      <c r="D182" s="996"/>
      <c r="E182" s="996"/>
      <c r="F182" s="1645"/>
      <c r="G182" s="1645"/>
      <c r="H182" s="360"/>
      <c r="N182" s="1650"/>
      <c r="O182" s="1650"/>
      <c r="P182" s="1650"/>
      <c r="Q182" s="1375"/>
      <c r="S182" s="1375"/>
      <c r="T182" s="1645"/>
      <c r="U182" s="1645"/>
      <c r="V182" s="1375"/>
      <c r="W182" s="1375"/>
      <c r="X182" s="1375"/>
      <c r="Y182" s="1375"/>
      <c r="Z182" s="1645"/>
      <c r="AA182" s="1375"/>
      <c r="AB182" s="1375"/>
      <c r="AC182" s="553"/>
      <c r="AD182" s="1375"/>
      <c r="AE182" s="1375"/>
      <c r="AF182" s="1375"/>
      <c r="AG182" s="1375"/>
      <c r="AH182" s="1375"/>
      <c r="AI182" s="1641"/>
      <c r="AJ182" s="631"/>
      <c r="AK182" s="631"/>
      <c r="AL182" s="631"/>
      <c r="AM182" s="631"/>
      <c r="AN182" s="1650">
        <v>11</v>
      </c>
    </row>
    <row s="1650" customFormat="1" customHeight="1" ht="11.549999999999999">
      <c r="A183" s="996"/>
      <c r="B183" s="996"/>
      <c r="C183" s="996"/>
      <c r="D183" s="996"/>
      <c r="E183" s="996"/>
      <c r="F183" s="1645"/>
      <c r="G183" s="1645"/>
      <c r="H183" s="360"/>
      <c r="N183" s="1650"/>
      <c r="O183" s="1650"/>
      <c r="P183" s="1650"/>
      <c r="Q183" s="1375"/>
      <c r="S183" s="1375"/>
      <c r="T183" s="1645"/>
      <c r="U183" s="1645"/>
      <c r="V183" s="1375"/>
      <c r="W183" s="1375"/>
      <c r="X183" s="1375"/>
      <c r="Y183" s="1375"/>
      <c r="Z183" s="1645"/>
      <c r="AA183" s="1375"/>
      <c r="AB183" s="1375"/>
      <c r="AC183" s="553"/>
      <c r="AD183" s="1375"/>
      <c r="AE183" s="1375"/>
      <c r="AF183" s="1375"/>
      <c r="AG183" s="1375"/>
      <c r="AH183" s="1375"/>
      <c r="AI183" s="1641"/>
      <c r="AJ183" s="631"/>
      <c r="AK183" s="631"/>
      <c r="AL183" s="631"/>
      <c r="AM183" s="631"/>
      <c r="AN183" s="1650">
        <v>11</v>
      </c>
    </row>
    <row s="1650" customFormat="1" customHeight="1" ht="11.549999999999999">
      <c r="A184" s="996"/>
      <c r="B184" s="996"/>
      <c r="C184" s="996"/>
      <c r="D184" s="996"/>
      <c r="E184" s="996"/>
      <c r="F184" s="1645"/>
      <c r="G184" s="1645"/>
      <c r="H184" s="360"/>
      <c r="N184" s="1650"/>
      <c r="O184" s="1650"/>
      <c r="P184" s="1650"/>
      <c r="Q184" s="1375"/>
      <c r="S184" s="1375"/>
      <c r="T184" s="1645"/>
      <c r="U184" s="1645"/>
      <c r="V184" s="1375"/>
      <c r="W184" s="1375"/>
      <c r="X184" s="1375"/>
      <c r="Y184" s="1375"/>
      <c r="Z184" s="1645"/>
      <c r="AA184" s="1375"/>
      <c r="AB184" s="1375"/>
      <c r="AC184" s="553"/>
      <c r="AD184" s="1375"/>
      <c r="AE184" s="1375"/>
      <c r="AF184" s="1375"/>
      <c r="AG184" s="1375"/>
      <c r="AH184" s="1375"/>
      <c r="AI184" s="1641"/>
      <c r="AJ184" s="631"/>
      <c r="AK184" s="631"/>
      <c r="AL184" s="631"/>
      <c r="AM184" s="631"/>
      <c r="AN184" s="1650">
        <v>11</v>
      </c>
    </row>
    <row s="1650" customFormat="1" customHeight="1" ht="11.549999999999999">
      <c r="A185" s="996"/>
      <c r="B185" s="996"/>
      <c r="C185" s="996"/>
      <c r="D185" s="996"/>
      <c r="E185" s="996"/>
      <c r="F185" s="1645"/>
      <c r="G185" s="1645"/>
      <c r="H185" s="360"/>
      <c r="N185" s="1650"/>
      <c r="O185" s="1650"/>
      <c r="P185" s="1650"/>
      <c r="Q185" s="1375"/>
      <c r="S185" s="1375"/>
      <c r="T185" s="1645"/>
      <c r="U185" s="1645"/>
      <c r="V185" s="1375"/>
      <c r="W185" s="1375"/>
      <c r="X185" s="1375"/>
      <c r="Y185" s="1375"/>
      <c r="Z185" s="1645"/>
      <c r="AA185" s="1375"/>
      <c r="AB185" s="1375"/>
      <c r="AC185" s="553"/>
      <c r="AD185" s="1375"/>
      <c r="AE185" s="1375"/>
      <c r="AF185" s="1375"/>
      <c r="AG185" s="1375"/>
      <c r="AH185" s="1375"/>
      <c r="AI185" s="1641"/>
      <c r="AJ185" s="631"/>
      <c r="AK185" s="631"/>
      <c r="AL185" s="631"/>
      <c r="AM185" s="631"/>
      <c r="AN185" s="1650">
        <v>11</v>
      </c>
    </row>
    <row s="1650" customFormat="1" customHeight="1" ht="11.549999999999999">
      <c r="A186" s="996"/>
      <c r="B186" s="996"/>
      <c r="C186" s="996"/>
      <c r="D186" s="996"/>
      <c r="E186" s="996"/>
      <c r="F186" s="1645"/>
      <c r="G186" s="1645"/>
      <c r="H186" s="360"/>
      <c r="N186" s="1650"/>
      <c r="O186" s="1650"/>
      <c r="P186" s="1650"/>
      <c r="Q186" s="1375"/>
      <c r="S186" s="1375"/>
      <c r="T186" s="1645"/>
      <c r="U186" s="1645"/>
      <c r="V186" s="1375"/>
      <c r="W186" s="1375"/>
      <c r="X186" s="1375"/>
      <c r="Y186" s="1375"/>
      <c r="Z186" s="1645"/>
      <c r="AA186" s="1375"/>
      <c r="AB186" s="1375"/>
      <c r="AC186" s="553"/>
      <c r="AD186" s="1375"/>
      <c r="AE186" s="1375"/>
      <c r="AF186" s="1375"/>
      <c r="AG186" s="1375"/>
      <c r="AH186" s="1375"/>
      <c r="AI186" s="1641"/>
      <c r="AJ186" s="631"/>
      <c r="AK186" s="631"/>
      <c r="AL186" s="631"/>
      <c r="AM186" s="631"/>
      <c r="AN186" s="1650">
        <v>11</v>
      </c>
    </row>
    <row s="1650" customFormat="1" customHeight="1" ht="11.549999999999999">
      <c r="A187" s="996"/>
      <c r="B187" s="996"/>
      <c r="C187" s="996"/>
      <c r="D187" s="996"/>
      <c r="E187" s="996"/>
      <c r="F187" s="1645"/>
      <c r="G187" s="1645"/>
      <c r="H187" s="360"/>
      <c r="N187" s="1650"/>
      <c r="O187" s="1650"/>
      <c r="P187" s="1650"/>
      <c r="Q187" s="1375"/>
      <c r="S187" s="1375"/>
      <c r="T187" s="1645"/>
      <c r="U187" s="1645"/>
      <c r="V187" s="1375"/>
      <c r="W187" s="1375"/>
      <c r="X187" s="1375"/>
      <c r="Y187" s="1375"/>
      <c r="Z187" s="1645"/>
      <c r="AA187" s="1375"/>
      <c r="AB187" s="1375"/>
      <c r="AC187" s="553"/>
      <c r="AD187" s="1375"/>
      <c r="AE187" s="1375"/>
      <c r="AF187" s="1375"/>
      <c r="AG187" s="1375"/>
      <c r="AH187" s="1375"/>
      <c r="AI187" s="1641"/>
      <c r="AJ187" s="631"/>
      <c r="AK187" s="631"/>
      <c r="AL187" s="631"/>
      <c r="AM187" s="631"/>
      <c r="AN187" s="1650">
        <v>11</v>
      </c>
    </row>
    <row s="1650" customFormat="1" customHeight="1" ht="11.549999999999999">
      <c r="A188" s="996"/>
      <c r="B188" s="996"/>
      <c r="C188" s="996"/>
      <c r="D188" s="996"/>
      <c r="E188" s="996"/>
      <c r="F188" s="1645"/>
      <c r="G188" s="1645"/>
      <c r="H188" s="360"/>
      <c r="N188" s="1650"/>
      <c r="O188" s="1650"/>
      <c r="P188" s="1650"/>
      <c r="Q188" s="1375"/>
      <c r="S188" s="1375"/>
      <c r="T188" s="1645"/>
      <c r="U188" s="1645"/>
      <c r="V188" s="1375"/>
      <c r="W188" s="1375"/>
      <c r="X188" s="1375"/>
      <c r="Y188" s="1375"/>
      <c r="Z188" s="1645"/>
      <c r="AA188" s="1375"/>
      <c r="AB188" s="1375"/>
      <c r="AC188" s="553"/>
      <c r="AD188" s="1375"/>
      <c r="AE188" s="1375"/>
      <c r="AF188" s="1375"/>
      <c r="AG188" s="1375"/>
      <c r="AH188" s="1375"/>
      <c r="AI188" s="1641"/>
      <c r="AJ188" s="631"/>
      <c r="AK188" s="631"/>
      <c r="AL188" s="631"/>
      <c r="AM188" s="631"/>
      <c r="AN188" s="1650">
        <v>11</v>
      </c>
    </row>
    <row s="1650" customFormat="1" customHeight="1" ht="11.549999999999999">
      <c r="A189" s="996"/>
      <c r="B189" s="996"/>
      <c r="C189" s="996"/>
      <c r="D189" s="996"/>
      <c r="E189" s="996"/>
      <c r="F189" s="1645"/>
      <c r="G189" s="1645"/>
      <c r="H189" s="360"/>
      <c r="N189" s="1650"/>
      <c r="O189" s="1650"/>
      <c r="P189" s="1650"/>
      <c r="Q189" s="1375"/>
      <c r="S189" s="1375"/>
      <c r="T189" s="1645"/>
      <c r="U189" s="1645"/>
      <c r="V189" s="1375"/>
      <c r="W189" s="1375"/>
      <c r="X189" s="1375"/>
      <c r="Y189" s="1375"/>
      <c r="Z189" s="1645"/>
      <c r="AA189" s="1375"/>
      <c r="AB189" s="1375"/>
      <c r="AC189" s="553"/>
      <c r="AD189" s="1375"/>
      <c r="AE189" s="1375"/>
      <c r="AF189" s="1375"/>
      <c r="AG189" s="1375"/>
      <c r="AH189" s="1375"/>
      <c r="AI189" s="1641"/>
      <c r="AJ189" s="631"/>
      <c r="AK189" s="631"/>
      <c r="AL189" s="631"/>
      <c r="AM189" s="631"/>
      <c r="AN189" s="1650">
        <v>11</v>
      </c>
    </row>
    <row customHeight="1" ht="11.549999999999999">
      <c r="N190" s="1644"/>
      <c r="O190" s="1644"/>
      <c r="P190" s="1644"/>
      <c r="AN190" s="1640">
        <v>11</v>
      </c>
    </row>
    <row customHeight="1" ht="11.549999999999999">
      <c r="N191" s="1644"/>
      <c r="O191" s="1644"/>
      <c r="P191" s="1644"/>
      <c r="AN191" s="1640">
        <v>11</v>
      </c>
    </row>
    <row customHeight="1" ht="11.549999999999999">
      <c r="N192" s="1644"/>
      <c r="O192" s="1644"/>
      <c r="P192" s="1644"/>
      <c r="AN192" s="1640">
        <v>11</v>
      </c>
    </row>
    <row customHeight="1" ht="11.549999999999999">
      <c r="A193" s="999"/>
      <c r="B193" s="999"/>
      <c r="C193" s="999"/>
      <c r="D193" s="999"/>
      <c r="E193" s="999"/>
      <c r="F193" s="1640"/>
      <c r="H193" s="1640"/>
      <c r="N193" s="1644"/>
      <c r="O193" s="1644"/>
      <c r="P193" s="1644"/>
      <c r="Q193" s="1640"/>
      <c r="S193" s="1640"/>
      <c r="V193" s="1640"/>
      <c r="W193" s="1640"/>
      <c r="X193" s="1640"/>
      <c r="Y193" s="1640"/>
      <c r="AA193" s="1640"/>
      <c r="AB193" s="1640"/>
      <c r="AC193" s="1640"/>
      <c r="AD193" s="1640"/>
      <c r="AE193" s="1640"/>
      <c r="AF193" s="1640"/>
      <c r="AG193" s="1640"/>
      <c r="AH193" s="1640"/>
      <c r="AI193" s="1640"/>
      <c r="AJ193" s="1640"/>
      <c r="AK193" s="1640"/>
      <c r="AL193" s="1640"/>
      <c r="AM193" s="1640"/>
      <c r="AN193" s="1640">
        <v>11</v>
      </c>
    </row>
    <row customHeight="1" ht="11.549999999999999">
      <c r="A194" s="999"/>
      <c r="B194" s="999"/>
      <c r="C194" s="999"/>
      <c r="D194" s="999"/>
      <c r="E194" s="999"/>
      <c r="F194" s="1640"/>
      <c r="H194" s="1640"/>
      <c r="N194" s="1644"/>
      <c r="O194" s="1644"/>
      <c r="P194" s="1644"/>
      <c r="Q194" s="1640"/>
      <c r="S194" s="1640"/>
      <c r="V194" s="1640"/>
      <c r="W194" s="1640"/>
      <c r="X194" s="1640"/>
      <c r="Y194" s="1640"/>
      <c r="AA194" s="1640"/>
      <c r="AB194" s="1640"/>
      <c r="AC194" s="1640"/>
      <c r="AD194" s="1640"/>
      <c r="AE194" s="1640"/>
      <c r="AF194" s="1640"/>
      <c r="AG194" s="1640"/>
      <c r="AH194" s="1640"/>
      <c r="AI194" s="1640"/>
      <c r="AJ194" s="1640"/>
      <c r="AK194" s="1640"/>
      <c r="AL194" s="1640"/>
      <c r="AM194" s="1640"/>
      <c r="AN194" s="1640">
        <v>11</v>
      </c>
    </row>
    <row customHeight="1" ht="11.549999999999999">
      <c r="A195" s="999"/>
      <c r="B195" s="999"/>
      <c r="C195" s="999"/>
      <c r="D195" s="999"/>
      <c r="E195" s="999"/>
      <c r="F195" s="1640"/>
      <c r="H195" s="1640"/>
      <c r="N195" s="1644"/>
      <c r="O195" s="1644"/>
      <c r="P195" s="1644"/>
      <c r="Q195" s="1640"/>
      <c r="S195" s="1640"/>
      <c r="V195" s="1640"/>
      <c r="W195" s="1640"/>
      <c r="X195" s="1640"/>
      <c r="Y195" s="1640"/>
      <c r="AA195" s="1640"/>
      <c r="AB195" s="1640"/>
      <c r="AC195" s="1640"/>
      <c r="AD195" s="1640"/>
      <c r="AE195" s="1640"/>
      <c r="AF195" s="1640"/>
      <c r="AG195" s="1640"/>
      <c r="AH195" s="1640"/>
      <c r="AI195" s="1640"/>
      <c r="AJ195" s="1640"/>
      <c r="AK195" s="1640"/>
      <c r="AL195" s="1640"/>
      <c r="AM195" s="1640"/>
      <c r="AN195" s="1640">
        <v>11</v>
      </c>
    </row>
    <row customHeight="1" ht="11.549999999999999">
      <c r="A196" s="999"/>
      <c r="B196" s="999"/>
      <c r="C196" s="999"/>
      <c r="D196" s="999"/>
      <c r="E196" s="999"/>
      <c r="F196" s="1640"/>
      <c r="H196" s="1640"/>
      <c r="N196" s="1644"/>
      <c r="O196" s="1644"/>
      <c r="P196" s="1644"/>
      <c r="Q196" s="1640"/>
      <c r="S196" s="1640"/>
      <c r="V196" s="1640"/>
      <c r="W196" s="1640"/>
      <c r="X196" s="1640"/>
      <c r="Y196" s="1640"/>
      <c r="AA196" s="1640"/>
      <c r="AB196" s="1640"/>
      <c r="AC196" s="1640"/>
      <c r="AD196" s="1640"/>
      <c r="AE196" s="1640"/>
      <c r="AF196" s="1640"/>
      <c r="AG196" s="1640"/>
      <c r="AH196" s="1640"/>
      <c r="AI196" s="1640"/>
      <c r="AJ196" s="1640"/>
      <c r="AK196" s="1640"/>
      <c r="AL196" s="1640"/>
      <c r="AM196" s="1640"/>
      <c r="AN196" s="1640">
        <v>11</v>
      </c>
    </row>
    <row customHeight="1" ht="11.549999999999999">
      <c r="A197" s="999"/>
      <c r="B197" s="999"/>
      <c r="C197" s="999"/>
      <c r="D197" s="999"/>
      <c r="E197" s="999"/>
      <c r="F197" s="1640"/>
      <c r="H197" s="1640"/>
      <c r="N197" s="1644"/>
      <c r="O197" s="1644"/>
      <c r="P197" s="1644"/>
      <c r="Q197" s="1640"/>
      <c r="S197" s="1640"/>
      <c r="V197" s="1640"/>
      <c r="W197" s="1640"/>
      <c r="X197" s="1640"/>
      <c r="Y197" s="1640"/>
      <c r="AA197" s="1640"/>
      <c r="AB197" s="1640"/>
      <c r="AC197" s="1640"/>
      <c r="AD197" s="1640"/>
      <c r="AE197" s="1640"/>
      <c r="AF197" s="1640"/>
      <c r="AG197" s="1640"/>
      <c r="AH197" s="1640"/>
      <c r="AI197" s="1640"/>
      <c r="AJ197" s="1640"/>
      <c r="AK197" s="1640"/>
      <c r="AL197" s="1640"/>
      <c r="AM197" s="1640"/>
      <c r="AN197" s="1640">
        <v>11</v>
      </c>
    </row>
    <row customHeight="1" ht="11.549999999999999">
      <c r="A198" s="999"/>
      <c r="B198" s="999"/>
      <c r="C198" s="999"/>
      <c r="D198" s="999"/>
      <c r="E198" s="999"/>
      <c r="F198" s="1640"/>
      <c r="H198" s="1640"/>
      <c r="N198" s="1644"/>
      <c r="O198" s="1644"/>
      <c r="P198" s="1644"/>
      <c r="Q198" s="1640"/>
      <c r="S198" s="1640"/>
      <c r="V198" s="1640"/>
      <c r="W198" s="1640"/>
      <c r="X198" s="1640"/>
      <c r="Y198" s="1640"/>
      <c r="AA198" s="1640"/>
      <c r="AB198" s="1640"/>
      <c r="AC198" s="1640"/>
      <c r="AD198" s="1640"/>
      <c r="AE198" s="1640"/>
      <c r="AF198" s="1640"/>
      <c r="AG198" s="1640"/>
      <c r="AH198" s="1640"/>
      <c r="AI198" s="1640"/>
      <c r="AJ198" s="1640"/>
      <c r="AK198" s="1640"/>
      <c r="AL198" s="1640"/>
      <c r="AM198" s="1640"/>
      <c r="AN198" s="1640">
        <v>11</v>
      </c>
    </row>
    <row customHeight="1" ht="11.549999999999999">
      <c r="A199" s="999"/>
      <c r="B199" s="999"/>
      <c r="C199" s="999"/>
      <c r="D199" s="999"/>
      <c r="E199" s="999"/>
      <c r="F199" s="1640"/>
      <c r="H199" s="1640"/>
      <c r="N199" s="1644"/>
      <c r="O199" s="1644"/>
      <c r="P199" s="1644"/>
      <c r="Q199" s="1640"/>
      <c r="S199" s="1640"/>
      <c r="V199" s="1640"/>
      <c r="W199" s="1640"/>
      <c r="X199" s="1640"/>
      <c r="Y199" s="1640"/>
      <c r="AA199" s="1640"/>
      <c r="AB199" s="1640"/>
      <c r="AC199" s="1640"/>
      <c r="AD199" s="1640"/>
      <c r="AE199" s="1640"/>
      <c r="AF199" s="1640"/>
      <c r="AG199" s="1640"/>
      <c r="AH199" s="1640"/>
      <c r="AI199" s="1640"/>
      <c r="AJ199" s="1640"/>
      <c r="AK199" s="1640"/>
      <c r="AL199" s="1640"/>
      <c r="AM199" s="1640"/>
      <c r="AN199" s="1640">
        <v>11</v>
      </c>
    </row>
    <row customHeight="1" ht="11.549999999999999">
      <c r="A200" s="999"/>
      <c r="B200" s="999"/>
      <c r="C200" s="999"/>
      <c r="D200" s="999"/>
      <c r="E200" s="999"/>
      <c r="F200" s="1640"/>
      <c r="H200" s="1640"/>
      <c r="N200" s="1644"/>
      <c r="O200" s="1644"/>
      <c r="P200" s="1644"/>
      <c r="Q200" s="1640"/>
      <c r="S200" s="1640"/>
      <c r="V200" s="1640"/>
      <c r="W200" s="1640"/>
      <c r="X200" s="1640"/>
      <c r="Y200" s="1640"/>
      <c r="AA200" s="1640"/>
      <c r="AB200" s="1640"/>
      <c r="AC200" s="1640"/>
      <c r="AD200" s="1640"/>
      <c r="AE200" s="1640"/>
      <c r="AF200" s="1640"/>
      <c r="AG200" s="1640"/>
      <c r="AH200" s="1640"/>
      <c r="AI200" s="1640"/>
      <c r="AJ200" s="1640"/>
      <c r="AK200" s="1640"/>
      <c r="AL200" s="1640"/>
      <c r="AM200" s="1640"/>
      <c r="AN200" s="1640">
        <v>11</v>
      </c>
    </row>
    <row customHeight="1" ht="11.549999999999999">
      <c r="A201" s="999"/>
      <c r="B201" s="999"/>
      <c r="C201" s="999"/>
      <c r="D201" s="999"/>
      <c r="E201" s="999"/>
      <c r="F201" s="1640"/>
      <c r="H201" s="1640"/>
      <c r="N201" s="1644"/>
      <c r="O201" s="1644"/>
      <c r="P201" s="1644"/>
      <c r="Q201" s="1640"/>
      <c r="S201" s="1640"/>
      <c r="V201" s="1640"/>
      <c r="W201" s="1640"/>
      <c r="X201" s="1640"/>
      <c r="Y201" s="1640"/>
      <c r="AA201" s="1640"/>
      <c r="AB201" s="1640"/>
      <c r="AC201" s="1640"/>
      <c r="AD201" s="1640"/>
      <c r="AE201" s="1640"/>
      <c r="AF201" s="1640"/>
      <c r="AG201" s="1640"/>
      <c r="AH201" s="1640"/>
      <c r="AI201" s="1640"/>
      <c r="AJ201" s="1640"/>
      <c r="AK201" s="1640"/>
      <c r="AL201" s="1640"/>
      <c r="AM201" s="1640"/>
      <c r="AN201" s="1640">
        <v>11</v>
      </c>
    </row>
    <row customHeight="1" ht="11.549999999999999">
      <c r="A202" s="999"/>
      <c r="B202" s="999"/>
      <c r="C202" s="999"/>
      <c r="D202" s="999"/>
      <c r="E202" s="999"/>
      <c r="F202" s="1640"/>
      <c r="H202" s="1640"/>
      <c r="N202" s="1644"/>
      <c r="O202" s="1644"/>
      <c r="P202" s="1644"/>
      <c r="Q202" s="1640"/>
      <c r="S202" s="1640"/>
      <c r="V202" s="1640"/>
      <c r="W202" s="1640"/>
      <c r="X202" s="1640"/>
      <c r="Y202" s="1640"/>
      <c r="AA202" s="1640"/>
      <c r="AB202" s="1640"/>
      <c r="AC202" s="1640"/>
      <c r="AD202" s="1640"/>
      <c r="AE202" s="1640"/>
      <c r="AF202" s="1640"/>
      <c r="AG202" s="1640"/>
      <c r="AH202" s="1640"/>
      <c r="AI202" s="1640"/>
      <c r="AJ202" s="1640"/>
      <c r="AK202" s="1640"/>
      <c r="AL202" s="1640"/>
      <c r="AM202" s="1640"/>
      <c r="AN202" s="1640">
        <v>11</v>
      </c>
    </row>
    <row customHeight="1" ht="11.549999999999999">
      <c r="A203" s="999"/>
      <c r="B203" s="999"/>
      <c r="C203" s="999"/>
      <c r="D203" s="999"/>
      <c r="E203" s="999"/>
      <c r="F203" s="1640"/>
      <c r="H203" s="1640"/>
      <c r="N203" s="1644"/>
      <c r="O203" s="1644"/>
      <c r="P203" s="1644"/>
      <c r="Q203" s="1640"/>
      <c r="S203" s="1640"/>
      <c r="V203" s="1640"/>
      <c r="W203" s="1640"/>
      <c r="X203" s="1640"/>
      <c r="Y203" s="1640"/>
      <c r="AA203" s="1640"/>
      <c r="AB203" s="1640"/>
      <c r="AC203" s="1640"/>
      <c r="AD203" s="1640"/>
      <c r="AE203" s="1640"/>
      <c r="AF203" s="1640"/>
      <c r="AG203" s="1640"/>
      <c r="AH203" s="1640"/>
      <c r="AI203" s="1640"/>
      <c r="AJ203" s="1640"/>
      <c r="AK203" s="1640"/>
      <c r="AL203" s="1640"/>
      <c r="AM203" s="1640"/>
      <c r="AN203" s="1640">
        <v>11</v>
      </c>
    </row>
    <row customHeight="1" ht="12.75" hidden="1">
      <c r="A204" s="996" t="s">
        <v>83</v>
      </c>
      <c r="B204" s="996" t="s">
        <v>166</v>
      </c>
      <c r="C204" s="996" t="s">
        <v>166</v>
      </c>
      <c r="D204" s="996" t="s">
        <v>166</v>
      </c>
      <c r="E204" s="996" t="s">
        <v>166</v>
      </c>
      <c r="F204" s="1644">
        <v>16</v>
      </c>
      <c r="G204" s="1645">
        <v>0</v>
      </c>
      <c r="H204" s="1644">
        <v>3</v>
      </c>
      <c r="I204" s="1640">
        <v>7</v>
      </c>
      <c r="J204" s="1640">
        <v>56</v>
      </c>
      <c r="K204" s="1640">
        <v>10</v>
      </c>
      <c r="L204" s="1640">
        <v>40</v>
      </c>
      <c r="M204" s="1640">
        <v>40</v>
      </c>
      <c r="N204" s="1644">
        <v>40</v>
      </c>
      <c r="O204" s="1644">
        <v>40</v>
      </c>
      <c r="P204" s="1644">
        <v>40</v>
      </c>
      <c r="Q204" s="1375">
        <v>9</v>
      </c>
      <c r="R204" s="1640">
        <v>102</v>
      </c>
      <c r="S204" s="1375">
        <v>9</v>
      </c>
      <c r="T204" s="1645">
        <v>5</v>
      </c>
      <c r="U204" s="1645">
        <v>3</v>
      </c>
      <c r="V204" s="1375">
        <v>3</v>
      </c>
      <c r="W204" s="1375">
        <v>3</v>
      </c>
      <c r="X204" s="1375">
        <v>3</v>
      </c>
      <c r="Y204" s="1375">
        <v>3</v>
      </c>
      <c r="Z204" s="1645">
        <v>10</v>
      </c>
      <c r="AA204" s="1375">
        <v>34</v>
      </c>
      <c r="AB204" s="1375">
        <v>9</v>
      </c>
      <c r="AC204" s="553">
        <v>8</v>
      </c>
      <c r="AD204" s="1375">
        <v>8</v>
      </c>
      <c r="AE204" s="1375">
        <v>8</v>
      </c>
      <c r="AF204" s="1375">
        <v>8</v>
      </c>
      <c r="AG204" s="1375">
        <v>8</v>
      </c>
      <c r="AH204" s="1375">
        <v>8</v>
      </c>
      <c r="AI204" s="1641">
        <v>8</v>
      </c>
      <c r="AJ204" s="1641">
        <v>8</v>
      </c>
      <c r="AK204" s="1641">
        <v>8</v>
      </c>
      <c r="AL204" s="1641">
        <v>8</v>
      </c>
      <c r="AM204" s="1641">
        <v>8</v>
      </c>
      <c r="AN204" s="1640">
        <v>11</v>
      </c>
    </row>
  </sheetData>
  <sheetProtection sheet="1" sort="1" autoFilter="0" insertRows="1" insertColumns="1" deleteRows="1" deleteColumns="1"/>
  <mergeCells count="7">
    <mergeCell ref="I6:M6"/>
    <mergeCell ref="I7:M7"/>
    <mergeCell ref="J10:K10"/>
    <mergeCell ref="R10:R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P15 L34:P34">
      <formula1>900</formula1>
    </dataValidation>
    <dataValidation type="whole" allowBlank="1" showErrorMessage="1" errorTitle="Ошибка" error="Допускается ввод только неотрицательных целых чисел!" sqref="L30:P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P17">
      <formula1>900</formula1>
    </dataValidation>
    <dataValidation type="decimal" allowBlank="1" showErrorMessage="1" errorTitle="Ошибка" error="Допускается ввод только неотрицательных чисел!" sqref="L32:P33 L19:P29 L16:P16 L2:P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5E0E73-7158-4CDF-251F-0.8CD10C4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44" width="10.57421875" hidden="1"/>
    <col min="5" max="5" style="2425" width="9.140625" hidden="1" customWidth="1"/>
    <col min="6" max="7" style="1375" width="9.140625" hidden="1" customWidth="1"/>
    <col min="8" max="8" style="353" width="3.00390625" customWidth="1"/>
    <col min="9" max="9" style="1644" width="6.00390625" customWidth="1"/>
    <col min="10" max="10" style="1644" width="63.00390625" customWidth="1"/>
    <col min="11" max="11" style="1644" width="9.00390625" customWidth="1"/>
    <col min="12" max="12" style="1644" width="39.00390625" customWidth="1"/>
    <col min="13" max="13" style="1644" width="89.00390625" customWidth="1"/>
    <col min="14" max="14" style="1644" width="10.00390625" customWidth="1"/>
    <col min="15" max="16" style="1633" width="10.00390625" customWidth="1"/>
    <col min="17" max="22" style="1644" width="10.00390625" customWidth="1"/>
    <col min="23" max="23" style="1644" width="10.57421875" hidden="1"/>
  </cols>
  <sheetData>
    <row customHeight="1" ht="22.5" hidden="1">
      <c r="S1" s="264"/>
      <c r="T1" s="264"/>
      <c r="V1" s="264"/>
      <c r="W1" s="1640" t="s">
        <v>14</v>
      </c>
    </row>
    <row customHeight="1" ht="22.5" hidden="1">
      <c r="B2" s="2059" t="s">
        <v>710</v>
      </c>
      <c r="C2" s="2059" t="s">
        <v>711</v>
      </c>
      <c r="D2" s="2058" t="s">
        <v>650</v>
      </c>
      <c r="E2" s="2064">
        <f>I2-3</f>
        <v>-3</v>
      </c>
      <c r="F2" s="2064">
        <f>J2</f>
        <v>0</v>
      </c>
      <c r="H2" s="1738" t="s">
        <v>104</v>
      </c>
      <c r="I2" s="2030"/>
      <c r="J2" s="1690"/>
      <c r="K2" s="2024" t="s">
        <v>321</v>
      </c>
      <c r="L2" s="1173"/>
      <c r="M2" s="306"/>
      <c r="N2" s="1633"/>
      <c r="P2" s="1640"/>
      <c r="W2" s="1640">
        <v>0</v>
      </c>
    </row>
    <row customHeight="1" ht="14.25" hidden="1">
      <c r="W3" s="1640">
        <v>0</v>
      </c>
    </row>
    <row customHeight="1" ht="6.3">
      <c r="H4" s="385"/>
      <c r="I4" s="466"/>
      <c r="J4" s="466"/>
      <c r="K4" s="466"/>
      <c r="L4" s="94"/>
      <c r="M4" s="94"/>
      <c r="W4" s="1640">
        <v>6</v>
      </c>
    </row>
    <row customHeight="1" ht="50.25">
      <c r="H5" s="385"/>
      <c r="I5" s="2276" t="s">
        <v>712</v>
      </c>
      <c r="J5" s="2276"/>
      <c r="K5" s="2276"/>
      <c r="L5" s="2276"/>
      <c r="M5" s="275"/>
      <c r="W5" s="1640">
        <v>48</v>
      </c>
    </row>
    <row customHeight="1" ht="18">
      <c r="H6" s="385"/>
      <c r="I6" s="2277" t="str">
        <f>IF(org=0,"Не определено",org)</f>
        <v>АО "ДГК"</v>
      </c>
      <c r="J6" s="2277"/>
      <c r="K6" s="2277"/>
      <c r="L6" s="2277"/>
      <c r="M6" s="275"/>
      <c r="W6" s="1640">
        <v>17</v>
      </c>
    </row>
    <row customHeight="1" ht="14.699999999999998">
      <c r="H7" s="385"/>
      <c r="I7" s="466"/>
      <c r="J7" s="472"/>
      <c r="K7" s="472"/>
      <c r="L7" s="761"/>
      <c r="M7" s="202"/>
      <c r="W7" s="1640">
        <v>14</v>
      </c>
    </row>
    <row customHeight="1" ht="14.699999999999998">
      <c r="H8" s="385"/>
      <c r="I8" s="2414" t="s">
        <v>315</v>
      </c>
      <c r="J8" s="2415"/>
      <c r="K8" s="2415"/>
      <c r="L8" s="2416"/>
      <c r="M8" s="2417" t="s">
        <v>316</v>
      </c>
      <c r="W8" s="1640">
        <v>14</v>
      </c>
    </row>
    <row customHeight="1" ht="35.699999999999996">
      <c r="E9" s="2057" t="s">
        <v>641</v>
      </c>
      <c r="F9" s="2057" t="s">
        <v>647</v>
      </c>
      <c r="H9" s="385"/>
      <c r="I9" s="2031" t="s">
        <v>89</v>
      </c>
      <c r="J9" s="2032" t="s">
        <v>317</v>
      </c>
      <c r="K9" s="2070" t="s">
        <v>579</v>
      </c>
      <c r="L9" s="2071" t="s">
        <v>318</v>
      </c>
      <c r="M9" s="2417"/>
      <c r="W9" s="1640">
        <v>34</v>
      </c>
    </row>
    <row customHeight="1" ht="35.699999999999996">
      <c r="B10" s="2059" t="s">
        <v>713</v>
      </c>
      <c r="C10" s="2059" t="s">
        <v>714</v>
      </c>
      <c r="D10" s="2058" t="s">
        <v>650</v>
      </c>
      <c r="E10" s="2062" t="s">
        <v>651</v>
      </c>
      <c r="F10" s="2062" t="s">
        <v>651</v>
      </c>
      <c r="H10" s="385"/>
      <c r="I10" s="2030" t="s">
        <v>118</v>
      </c>
      <c r="J10" s="1892" t="s">
        <v>715</v>
      </c>
      <c r="K10" s="2024" t="s">
        <v>321</v>
      </c>
      <c r="L10" s="827"/>
      <c r="M10" s="306" t="s">
        <v>716</v>
      </c>
      <c r="W10" s="1640">
        <v>34</v>
      </c>
    </row>
    <row customHeight="1" ht="50.25">
      <c r="B11" s="2059" t="s">
        <v>717</v>
      </c>
      <c r="C11" s="2059" t="s">
        <v>718</v>
      </c>
      <c r="D11" s="2058" t="s">
        <v>650</v>
      </c>
      <c r="E11" s="2062" t="s">
        <v>651</v>
      </c>
      <c r="F11" s="2062" t="s">
        <v>651</v>
      </c>
      <c r="H11" s="385"/>
      <c r="I11" s="2030" t="s">
        <v>103</v>
      </c>
      <c r="J11" s="1892" t="s">
        <v>719</v>
      </c>
      <c r="K11" s="2024" t="s">
        <v>321</v>
      </c>
      <c r="L11" s="827"/>
      <c r="M11" s="306" t="s">
        <v>716</v>
      </c>
      <c r="W11" s="1640">
        <v>48</v>
      </c>
    </row>
    <row customHeight="1" ht="48.29999999999999">
      <c r="B12" s="2059" t="s">
        <v>720</v>
      </c>
      <c r="C12" s="2059" t="s">
        <v>721</v>
      </c>
      <c r="D12" s="2058" t="s">
        <v>650</v>
      </c>
      <c r="E12" s="2062" t="s">
        <v>651</v>
      </c>
      <c r="F12" s="2062" t="s">
        <v>651</v>
      </c>
      <c r="H12" s="1696"/>
      <c r="I12" s="2030" t="s">
        <v>91</v>
      </c>
      <c r="J12" s="2037" t="s">
        <v>722</v>
      </c>
      <c r="K12" s="2024" t="s">
        <v>321</v>
      </c>
      <c r="L12" s="827"/>
      <c r="M12" s="306" t="s">
        <v>723</v>
      </c>
      <c r="N12" s="1633"/>
      <c r="P12" s="1640"/>
      <c r="W12" s="1640">
        <v>46</v>
      </c>
    </row>
    <row customHeight="1" ht="14.699999999999998">
      <c r="E13" s="352"/>
      <c r="H13" s="385"/>
      <c r="I13" s="356"/>
      <c r="J13" s="660" t="s">
        <v>724</v>
      </c>
      <c r="K13" s="580"/>
      <c r="L13" s="223"/>
      <c r="M13" s="306"/>
      <c r="W13" s="1640">
        <v>14</v>
      </c>
    </row>
    <row customHeight="1" ht="14.699999999999998">
      <c r="E14" s="352"/>
      <c r="H14" s="385"/>
      <c r="I14" s="1066"/>
      <c r="J14" s="1685"/>
      <c r="K14" s="1686"/>
      <c r="L14" s="1687"/>
      <c r="M14" s="2034"/>
      <c r="W14" s="1640">
        <v>14</v>
      </c>
    </row>
    <row customHeight="1" ht="14.699999999999998">
      <c r="I15" s="1689"/>
      <c r="J15" s="2413"/>
      <c r="K15" s="2413"/>
      <c r="L15" s="2413"/>
      <c r="M15" s="2413"/>
      <c r="W15" s="1640">
        <v>14</v>
      </c>
    </row>
    <row customHeight="1" ht="21" hidden="1">
      <c r="A16" s="2036" t="s">
        <v>83</v>
      </c>
      <c r="B16" s="1640">
        <v>9</v>
      </c>
      <c r="C16" s="1640">
        <v>9</v>
      </c>
      <c r="D16" s="1640">
        <v>9</v>
      </c>
      <c r="E16" s="2036" t="s">
        <v>165</v>
      </c>
      <c r="F16" s="2061" t="s">
        <v>165</v>
      </c>
      <c r="G16" s="2063"/>
      <c r="H16" s="353">
        <v>3</v>
      </c>
      <c r="I16" s="1640">
        <v>6</v>
      </c>
      <c r="J16" s="1640">
        <v>63</v>
      </c>
      <c r="K16" s="1640">
        <v>9</v>
      </c>
      <c r="L16" s="1640">
        <v>39</v>
      </c>
      <c r="M16" s="1640">
        <v>89</v>
      </c>
      <c r="N16" s="1640">
        <v>10</v>
      </c>
      <c r="O16" s="1633">
        <v>10</v>
      </c>
      <c r="P16" s="1633">
        <v>10</v>
      </c>
      <c r="Q16" s="1640">
        <v>10</v>
      </c>
      <c r="R16" s="1640">
        <v>10</v>
      </c>
      <c r="S16" s="1640">
        <v>10</v>
      </c>
      <c r="T16" s="1640">
        <v>10</v>
      </c>
      <c r="U16" s="1640">
        <v>10</v>
      </c>
      <c r="V16" s="1640">
        <v>10</v>
      </c>
      <c r="W16" s="1640">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E39A64-9C45-A3A6-7CD1-0.26D93989}" mc:Ignorable="x14ac xr xr2 xr3">
  <sheetPr>
    <tabColor theme="9" tint="-0.25"/>
  </sheetPr>
  <dimension ref="A1:AI219"/>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6.00390625" customWidth="1"/>
    <col min="7" max="7" style="1644" width="10.00390625" customWidth="1"/>
    <col min="8" max="8" style="1644" width="40.7109375" hidden="1" customWidth="1"/>
    <col min="9" max="9" style="1644" width="40.00390625" customWidth="1"/>
    <col min="10" max="12" style="1644" width="40.7109375" customWidth="1"/>
    <col min="13" max="13" style="1644" width="102.00390625" customWidth="1"/>
    <col min="14" max="14" style="1375" width="9.00390625" customWidth="1"/>
    <col min="15" max="15" style="1651" width="5.00390625" customWidth="1"/>
    <col min="16" max="16" style="1651" width="3.00390625" customWidth="1"/>
    <col min="17" max="20" style="1375" width="3.00390625" customWidth="1"/>
    <col min="21" max="21" style="1651" width="10.00390625" customWidth="1"/>
    <col min="22" max="22" style="1375" width="34.00390625" customWidth="1"/>
    <col min="23" max="23" style="1375" width="9.00390625" customWidth="1"/>
    <col min="24" max="24" style="745" width="8.00390625" customWidth="1"/>
    <col min="25" max="29" style="1375" width="8.00390625" customWidth="1"/>
    <col min="30" max="34" style="1641" width="8.00390625" customWidth="1"/>
    <col min="35" max="35" style="1644" width="10.421875" hidden="1" customWidth="1"/>
  </cols>
  <sheetData>
    <row s="1375" customFormat="1" customHeight="1" ht="22.5" hidden="1">
      <c r="A1" s="996"/>
      <c r="C1" s="1645"/>
      <c r="D1" s="546"/>
      <c r="H1" s="1169">
        <v>4</v>
      </c>
      <c r="I1" s="1169">
        <v>4</v>
      </c>
      <c r="J1" s="1375">
        <v>4</v>
      </c>
      <c r="K1" s="1375">
        <v>4</v>
      </c>
      <c r="L1" s="1375">
        <v>4</v>
      </c>
      <c r="O1" s="1645"/>
      <c r="P1" s="1645"/>
      <c r="U1" s="1645"/>
      <c r="AI1" s="1169" t="s">
        <v>14</v>
      </c>
    </row>
    <row s="1375" customFormat="1" customHeight="1" ht="22.5" hidden="1">
      <c r="A2" s="996"/>
      <c r="C2" s="1645"/>
      <c r="D2" s="547"/>
      <c r="E2" s="1646"/>
      <c r="F2" s="549"/>
      <c r="G2" s="1648" t="s">
        <v>565</v>
      </c>
      <c r="H2" s="550"/>
      <c r="I2" s="550"/>
      <c r="J2" s="760"/>
      <c r="K2" s="760"/>
      <c r="L2" s="760"/>
      <c r="M2" s="551" t="s">
        <v>725</v>
      </c>
      <c r="N2" s="552"/>
      <c r="O2" s="1645"/>
      <c r="P2" s="1645"/>
      <c r="U2" s="1645"/>
      <c r="X2" s="553"/>
      <c r="AD2" s="1641"/>
      <c r="AE2" s="1641"/>
      <c r="AF2" s="1641"/>
      <c r="AG2" s="1641"/>
      <c r="AH2" s="1641"/>
      <c r="AI2" s="1169">
        <v>0</v>
      </c>
    </row>
    <row customHeight="1" ht="11.25" hidden="1">
      <c r="J3" s="1644"/>
      <c r="K3" s="1644"/>
      <c r="L3" s="1644"/>
      <c r="AI3" s="1640">
        <v>0</v>
      </c>
    </row>
    <row s="1641" customFormat="1" customHeight="1" ht="11.25" hidden="1">
      <c r="A4" s="996"/>
      <c r="B4" s="1169"/>
      <c r="C4" s="1645"/>
      <c r="D4" s="371"/>
      <c r="J4" s="1641"/>
      <c r="K4" s="1641"/>
      <c r="L4" s="1641"/>
      <c r="M4" s="1641">
        <v>4</v>
      </c>
      <c r="N4" s="1169"/>
      <c r="O4" s="1645"/>
      <c r="P4" s="1645"/>
      <c r="Q4" s="1169"/>
      <c r="R4" s="1169"/>
      <c r="S4" s="1169"/>
      <c r="T4" s="1169"/>
      <c r="U4" s="1645"/>
      <c r="V4" s="1169"/>
      <c r="W4" s="1169"/>
      <c r="X4" s="553"/>
      <c r="Y4" s="1169"/>
      <c r="Z4" s="1169"/>
      <c r="AA4" s="1169"/>
      <c r="AB4" s="1169"/>
      <c r="AC4" s="1169"/>
      <c r="AI4" s="1641">
        <v>0</v>
      </c>
    </row>
    <row customHeight="1" ht="11.549999999999999">
      <c r="J5" s="1644"/>
      <c r="K5" s="1644"/>
      <c r="L5" s="1644"/>
      <c r="AI5" s="1640">
        <v>11</v>
      </c>
    </row>
    <row customHeight="1" ht="31.5">
      <c r="E6" s="2335" t="s">
        <v>726</v>
      </c>
      <c r="F6" s="2335"/>
      <c r="G6" s="2335"/>
      <c r="H6" s="2335"/>
      <c r="I6" s="2335"/>
      <c r="J6" s="2335"/>
      <c r="K6" s="2335"/>
      <c r="L6" s="2335"/>
      <c r="M6" s="565"/>
      <c r="AI6" s="1640">
        <v>30</v>
      </c>
    </row>
    <row customHeight="1" ht="11.549999999999999">
      <c r="E7" s="2277" t="str">
        <f>IF(org=0,"Не определено",org)</f>
        <v>АО "ДГК"</v>
      </c>
      <c r="F7" s="2277"/>
      <c r="G7" s="2277"/>
      <c r="H7" s="2277"/>
      <c r="I7" s="2277"/>
      <c r="J7" s="2277"/>
      <c r="K7" s="2277"/>
      <c r="L7" s="2277"/>
      <c r="AI7" s="1640">
        <v>11</v>
      </c>
    </row>
    <row customHeight="1" ht="11.549999999999999">
      <c r="E8" s="1144"/>
      <c r="F8" s="1144"/>
      <c r="G8" s="1144"/>
      <c r="H8" s="1144"/>
      <c r="I8" s="1144"/>
      <c r="J8" s="1145" t="s">
        <v>22</v>
      </c>
      <c r="K8" s="1145" t="s">
        <v>22</v>
      </c>
      <c r="L8" s="1145" t="s">
        <v>22</v>
      </c>
      <c r="AI8" s="1640">
        <v>11</v>
      </c>
    </row>
    <row s="1651" customFormat="1" customHeight="1" ht="4.2">
      <c r="A9" s="1176"/>
      <c r="D9" s="1651"/>
      <c r="H9" s="898"/>
      <c r="I9" s="898" t="s">
        <v>126</v>
      </c>
      <c r="J9" s="898" t="s">
        <v>131</v>
      </c>
      <c r="K9" s="898" t="s">
        <v>134</v>
      </c>
      <c r="L9" s="898" t="s">
        <v>136</v>
      </c>
      <c r="AI9" s="1645">
        <v>4</v>
      </c>
    </row>
    <row customHeight="1" ht="11.549999999999999">
      <c r="E10" s="720"/>
      <c r="F10" s="2395" t="s">
        <v>114</v>
      </c>
      <c r="G10" s="2396"/>
      <c r="H10" s="1561" t="str">
        <f>IF(H9="","",INDEX(DIFFERENTIATION_UNMERGE_VD,MATCH(H9,DIFFERENTIATION_ID_DIFF,0)))</f>
        <v/>
      </c>
      <c r="I10" s="1561"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2421"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2421" t="str">
        <f>IF(K9="","",INDEX(DIFFERENTIATION_UNMERGE_VD,MATCH(K9,DIFFERENTIATION_ID_DIFF,0)))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10" s="2421" t="str">
        <f>IF(L9="","",INDEX(DIFFERENTIATION_UNMERGE_VD,MATCH(L9,DIFFERENTIATION_ID_DIFF,0)))</f>
        <v>Подключение (технологическое присоединение) к системе теплоснабжения</v>
      </c>
      <c r="M10" s="2155" t="s">
        <v>316</v>
      </c>
      <c r="AI10" s="1640">
        <v>11</v>
      </c>
    </row>
    <row customHeight="1" ht="11.549999999999999">
      <c r="E11" s="720"/>
      <c r="F11" s="2395" t="s">
        <v>577</v>
      </c>
      <c r="G11" s="2396"/>
      <c r="H11" s="1561" t="str">
        <f>IF(H9="","",INDEX(DIFFERENTIATION_UNMERGE_AREA,MATCH(H9,DIFFERENTIATION_ID_DIFF,0)))</f>
        <v/>
      </c>
      <c r="I11" s="1561" t="str">
        <f>IF(I9="","",INDEX(DIFFERENTIATION_UNMERGE_AREA,MATCH(I9,DIFFERENTIATION_ID_DIFF,0)))</f>
        <v>Территория 1</v>
      </c>
      <c r="J11" s="2421" t="str">
        <f>IF(J9="","",INDEX(DIFFERENTIATION_UNMERGE_AREA,MATCH(J9,DIFFERENTIATION_ID_DIFF,0)))</f>
        <v>Территория 3</v>
      </c>
      <c r="K11" s="2421" t="str">
        <f>IF(K9="","",INDEX(DIFFERENTIATION_UNMERGE_AREA,MATCH(K9,DIFFERENTIATION_ID_DIFF,0)))</f>
        <v>Территория 2</v>
      </c>
      <c r="L11" s="2421" t="str">
        <f>IF(L9="","",INDEX(DIFFERENTIATION_UNMERGE_AREA,MATCH(L9,DIFFERENTIATION_ID_DIFF,0)))</f>
        <v>без дифференциации</v>
      </c>
      <c r="M11" s="2155"/>
      <c r="AI11" s="1640">
        <v>11</v>
      </c>
    </row>
    <row customHeight="1" ht="1.05">
      <c r="E12" s="1671"/>
      <c r="F12" s="2418" t="s">
        <v>578</v>
      </c>
      <c r="G12" s="2419"/>
      <c r="H12" s="1672" t="str">
        <f>IF(H9="","",INDEX(DIFFERENTIATION_UNMERGE_SYSTEM,MATCH(H9,DIFFERENTIATION_ID_DIFF,0)))</f>
        <v/>
      </c>
      <c r="I12" s="1672" t="str">
        <f>IF(I9="","",INDEX(DIFFERENTIATION_UNMERGE_SYSTEM,MATCH(I9,DIFFERENTIATION_ID_DIFF,0)))</f>
        <v>Артемовская ТЭЦ, ТС г. Артем</v>
      </c>
      <c r="J12" s="1672" t="str">
        <f>IF(J9="","",INDEX(DIFFERENTIATION_UNMERGE_SYSTEM,MATCH(J9,DIFFERENTIATION_ID_DIFF,0)))</f>
        <v>Партизанская ГРЭС, ТС г. Партизанск</v>
      </c>
      <c r="K12" s="1672" t="str">
        <f>IF(K9="","",INDEX(DIFFERENTIATION_UNMERGE_SYSTEM,MATCH(K9,DIFFERENTIATION_ID_DIFF,0)))</f>
        <v>Восточная ТЭЦ, котельные г. Владивосток, ТС г. Владивосток</v>
      </c>
      <c r="L12" s="1672" t="str">
        <f>IF(L9="","",INDEX(DIFFERENTIATION_UNMERGE_SYSTEM,MATCH(L9,DIFFERENTIATION_ID_DIFF,0)))</f>
        <v>без дифференциации</v>
      </c>
      <c r="M12" s="2155"/>
      <c r="AI12" s="1640">
        <v>1</v>
      </c>
    </row>
    <row customHeight="1" ht="11.549999999999999">
      <c r="E13" s="2397" t="s">
        <v>315</v>
      </c>
      <c r="F13" s="2398"/>
      <c r="G13" s="2398"/>
      <c r="H13" s="1560"/>
      <c r="I13" s="1560"/>
      <c r="J13" s="2395"/>
      <c r="K13" s="2395"/>
      <c r="L13" s="2395"/>
      <c r="M13" s="2155"/>
      <c r="AI13" s="1640">
        <v>11</v>
      </c>
    </row>
    <row customHeight="1" ht="24">
      <c r="E14" s="1648" t="s">
        <v>89</v>
      </c>
      <c r="F14" s="1643" t="s">
        <v>317</v>
      </c>
      <c r="G14" s="1643" t="s">
        <v>579</v>
      </c>
      <c r="H14" s="1643" t="s">
        <v>318</v>
      </c>
      <c r="I14" s="1643" t="s">
        <v>318</v>
      </c>
      <c r="J14" s="2340" t="s">
        <v>318</v>
      </c>
      <c r="K14" s="2340" t="s">
        <v>318</v>
      </c>
      <c r="L14" s="2340" t="s">
        <v>318</v>
      </c>
      <c r="M14" s="2155"/>
      <c r="AI14" s="1640">
        <v>23</v>
      </c>
    </row>
    <row customHeight="1" ht="19.95">
      <c r="D15" s="1647"/>
      <c r="E15" s="1639" t="s">
        <v>118</v>
      </c>
      <c r="F15" s="716" t="s">
        <v>727</v>
      </c>
      <c r="G15" s="1655" t="s">
        <v>565</v>
      </c>
      <c r="H15" s="566"/>
      <c r="I15" s="566"/>
      <c r="J15" s="566"/>
      <c r="K15" s="566"/>
      <c r="L15" s="566"/>
      <c r="M15" s="298" t="s">
        <v>728</v>
      </c>
      <c r="N15" s="552" t="s">
        <v>653</v>
      </c>
      <c r="AI15" s="1640">
        <v>19</v>
      </c>
    </row>
    <row customHeight="1" ht="35.699999999999996">
      <c r="D16" s="1647"/>
      <c r="E16" s="1639" t="s">
        <v>103</v>
      </c>
      <c r="F16" s="716" t="s">
        <v>729</v>
      </c>
      <c r="G16" s="1655" t="s">
        <v>565</v>
      </c>
      <c r="H16" s="567">
        <f>SUM(H17,H20,H23,H26,H29:H32,H35)</f>
        <v>0</v>
      </c>
      <c r="I16" s="567">
        <f>SUM(I17,I20,I23,I26,I29:I32,I35)</f>
        <v>0</v>
      </c>
      <c r="J16" s="567">
        <f>SUM(J17,J20,J23,J26,J29:J32,J35)</f>
        <v>0</v>
      </c>
      <c r="K16" s="567">
        <f>SUM(K17,K20,K23,K26,K29:K32,K35)</f>
        <v>0</v>
      </c>
      <c r="L16" s="567">
        <f>SUM(L17,L20,L23,L26,L29:L32,L35)</f>
        <v>0</v>
      </c>
      <c r="M16" s="298" t="s">
        <v>730</v>
      </c>
      <c r="N16" s="552" t="s">
        <v>653</v>
      </c>
      <c r="AI16" s="1640">
        <v>34</v>
      </c>
    </row>
    <row customHeight="1" ht="19.95">
      <c r="D17" s="1647"/>
      <c r="E17" s="1673" t="s">
        <v>731</v>
      </c>
      <c r="F17" s="963" t="s">
        <v>732</v>
      </c>
      <c r="G17" s="1652" t="s">
        <v>565</v>
      </c>
      <c r="H17" s="566"/>
      <c r="I17" s="566"/>
      <c r="J17" s="566"/>
      <c r="K17" s="566"/>
      <c r="L17" s="566"/>
      <c r="M17" s="298" t="s">
        <v>733</v>
      </c>
      <c r="N17" s="552"/>
      <c r="AI17" s="1640">
        <v>19</v>
      </c>
    </row>
    <row customHeight="1" ht="24">
      <c r="D18" s="1647"/>
      <c r="E18" s="1673" t="s">
        <v>734</v>
      </c>
      <c r="F18" s="1659" t="s">
        <v>735</v>
      </c>
      <c r="G18" s="1652" t="s">
        <v>565</v>
      </c>
      <c r="H18" s="566"/>
      <c r="I18" s="566"/>
      <c r="J18" s="566"/>
      <c r="K18" s="566"/>
      <c r="L18" s="566"/>
      <c r="M18" s="298" t="s">
        <v>736</v>
      </c>
      <c r="N18" s="552"/>
      <c r="AI18" s="1640">
        <v>23</v>
      </c>
    </row>
    <row customHeight="1" ht="35.699999999999996">
      <c r="D19" s="1647"/>
      <c r="E19" s="1673" t="s">
        <v>737</v>
      </c>
      <c r="F19" s="1659" t="s">
        <v>738</v>
      </c>
      <c r="G19" s="1652" t="s">
        <v>565</v>
      </c>
      <c r="H19" s="566"/>
      <c r="I19" s="566"/>
      <c r="J19" s="566"/>
      <c r="K19" s="566"/>
      <c r="L19" s="566"/>
      <c r="M19" s="298"/>
      <c r="N19" s="552"/>
      <c r="AI19" s="1640">
        <v>34</v>
      </c>
    </row>
    <row customHeight="1" ht="19.95">
      <c r="D20" s="1647"/>
      <c r="E20" s="1673" t="s">
        <v>322</v>
      </c>
      <c r="F20" s="963" t="s">
        <v>739</v>
      </c>
      <c r="G20" s="1652" t="s">
        <v>565</v>
      </c>
      <c r="H20" s="566"/>
      <c r="I20" s="566"/>
      <c r="J20" s="566"/>
      <c r="K20" s="566"/>
      <c r="L20" s="566"/>
      <c r="M20" s="298" t="s">
        <v>740</v>
      </c>
      <c r="N20" s="552"/>
      <c r="AI20" s="1640">
        <v>19</v>
      </c>
    </row>
    <row customHeight="1" ht="19.95">
      <c r="D21" s="1647"/>
      <c r="E21" s="1673" t="s">
        <v>741</v>
      </c>
      <c r="F21" s="1659" t="s">
        <v>742</v>
      </c>
      <c r="G21" s="1652" t="s">
        <v>565</v>
      </c>
      <c r="H21" s="566"/>
      <c r="I21" s="566"/>
      <c r="J21" s="566"/>
      <c r="K21" s="566"/>
      <c r="L21" s="566"/>
      <c r="M21" s="298"/>
      <c r="N21" s="552"/>
      <c r="AI21" s="1640">
        <v>19</v>
      </c>
    </row>
    <row customHeight="1" ht="19.95">
      <c r="D22" s="1647"/>
      <c r="E22" s="1673" t="s">
        <v>743</v>
      </c>
      <c r="F22" s="1659" t="s">
        <v>744</v>
      </c>
      <c r="G22" s="1652" t="s">
        <v>565</v>
      </c>
      <c r="H22" s="566"/>
      <c r="I22" s="566"/>
      <c r="J22" s="566"/>
      <c r="K22" s="566"/>
      <c r="L22" s="566"/>
      <c r="M22" s="298"/>
      <c r="N22" s="552"/>
      <c r="AI22" s="1640">
        <v>19</v>
      </c>
    </row>
    <row customHeight="1" ht="24">
      <c r="D23" s="1647"/>
      <c r="E23" s="1673" t="s">
        <v>325</v>
      </c>
      <c r="F23" s="963" t="s">
        <v>745</v>
      </c>
      <c r="G23" s="1652" t="s">
        <v>565</v>
      </c>
      <c r="H23" s="566"/>
      <c r="I23" s="566"/>
      <c r="J23" s="566"/>
      <c r="K23" s="566"/>
      <c r="L23" s="566"/>
      <c r="M23" s="298" t="s">
        <v>746</v>
      </c>
      <c r="N23" s="552"/>
      <c r="AI23" s="1640">
        <v>23</v>
      </c>
    </row>
    <row customHeight="1" ht="19.95">
      <c r="D24" s="1647"/>
      <c r="E24" s="1673" t="s">
        <v>747</v>
      </c>
      <c r="F24" s="1659" t="s">
        <v>748</v>
      </c>
      <c r="G24" s="1652" t="s">
        <v>565</v>
      </c>
      <c r="H24" s="566"/>
      <c r="I24" s="566"/>
      <c r="J24" s="566"/>
      <c r="K24" s="566"/>
      <c r="L24" s="566"/>
      <c r="M24" s="298"/>
      <c r="N24" s="552"/>
      <c r="AI24" s="1640">
        <v>19</v>
      </c>
    </row>
    <row customHeight="1" ht="35.699999999999996">
      <c r="D25" s="1647"/>
      <c r="E25" s="1673" t="s">
        <v>749</v>
      </c>
      <c r="F25" s="1659" t="s">
        <v>750</v>
      </c>
      <c r="G25" s="1652" t="s">
        <v>565</v>
      </c>
      <c r="H25" s="566"/>
      <c r="I25" s="566"/>
      <c r="J25" s="566"/>
      <c r="K25" s="566"/>
      <c r="L25" s="566"/>
      <c r="M25" s="298"/>
      <c r="N25" s="552"/>
      <c r="AI25" s="1640">
        <v>34</v>
      </c>
    </row>
    <row customHeight="1" ht="24">
      <c r="D26" s="1647"/>
      <c r="E26" s="1673" t="s">
        <v>751</v>
      </c>
      <c r="F26" s="963" t="s">
        <v>752</v>
      </c>
      <c r="G26" s="1652" t="s">
        <v>565</v>
      </c>
      <c r="H26" s="566"/>
      <c r="I26" s="566"/>
      <c r="J26" s="566"/>
      <c r="K26" s="566"/>
      <c r="L26" s="566"/>
      <c r="M26" s="298" t="s">
        <v>753</v>
      </c>
      <c r="N26" s="552"/>
      <c r="AI26" s="1640">
        <v>23</v>
      </c>
    </row>
    <row customHeight="1" ht="19.95">
      <c r="D27" s="1647"/>
      <c r="E27" s="1683" t="s">
        <v>754</v>
      </c>
      <c r="F27" s="1659" t="s">
        <v>755</v>
      </c>
      <c r="G27" s="1663" t="s">
        <v>565</v>
      </c>
      <c r="H27" s="1684"/>
      <c r="I27" s="1684"/>
      <c r="J27" s="1684"/>
      <c r="K27" s="1684"/>
      <c r="L27" s="1684"/>
      <c r="M27" s="298"/>
      <c r="N27" s="552"/>
      <c r="AI27" s="1640">
        <v>19</v>
      </c>
    </row>
    <row customHeight="1" ht="19.95">
      <c r="D28" s="1647"/>
      <c r="E28" s="1683" t="s">
        <v>756</v>
      </c>
      <c r="F28" s="1659" t="s">
        <v>757</v>
      </c>
      <c r="G28" s="1663" t="s">
        <v>565</v>
      </c>
      <c r="H28" s="1684"/>
      <c r="I28" s="1684"/>
      <c r="J28" s="1684"/>
      <c r="K28" s="1684"/>
      <c r="L28" s="1684"/>
      <c r="M28" s="298"/>
      <c r="N28" s="552"/>
      <c r="AI28" s="1640">
        <v>19</v>
      </c>
    </row>
    <row customHeight="1" ht="19.95">
      <c r="D29" s="1647"/>
      <c r="E29" s="1683" t="s">
        <v>758</v>
      </c>
      <c r="F29" s="963" t="s">
        <v>759</v>
      </c>
      <c r="G29" s="1663" t="s">
        <v>565</v>
      </c>
      <c r="H29" s="1684"/>
      <c r="I29" s="1684"/>
      <c r="J29" s="1684"/>
      <c r="K29" s="1684"/>
      <c r="L29" s="1684"/>
      <c r="M29" s="298"/>
      <c r="N29" s="552"/>
      <c r="AI29" s="1640">
        <v>19</v>
      </c>
    </row>
    <row customHeight="1" ht="19.95">
      <c r="D30" s="1647"/>
      <c r="E30" s="1683" t="s">
        <v>760</v>
      </c>
      <c r="F30" s="963" t="s">
        <v>761</v>
      </c>
      <c r="G30" s="1663" t="s">
        <v>565</v>
      </c>
      <c r="H30" s="1684"/>
      <c r="I30" s="1684"/>
      <c r="J30" s="1684"/>
      <c r="K30" s="1684"/>
      <c r="L30" s="1684"/>
      <c r="M30" s="298"/>
      <c r="N30" s="552"/>
      <c r="AI30" s="1640">
        <v>19</v>
      </c>
    </row>
    <row customHeight="1" ht="19.95">
      <c r="D31" s="1647"/>
      <c r="E31" s="1683" t="s">
        <v>762</v>
      </c>
      <c r="F31" s="963" t="s">
        <v>763</v>
      </c>
      <c r="G31" s="1663" t="s">
        <v>565</v>
      </c>
      <c r="H31" s="1684"/>
      <c r="I31" s="1684"/>
      <c r="J31" s="1684"/>
      <c r="K31" s="1684"/>
      <c r="L31" s="1684"/>
      <c r="M31" s="298"/>
      <c r="N31" s="552"/>
      <c r="AI31" s="1640">
        <v>19</v>
      </c>
    </row>
    <row s="1375" customFormat="1" customHeight="1" ht="35.699999999999996">
      <c r="A32" s="996"/>
      <c r="C32" s="1645"/>
      <c r="D32" s="1647"/>
      <c r="E32" s="1683" t="s">
        <v>764</v>
      </c>
      <c r="F32" s="963" t="s">
        <v>765</v>
      </c>
      <c r="G32" s="1653" t="s">
        <v>565</v>
      </c>
      <c r="H32" s="588">
        <f>SUM(H33:H34)</f>
        <v>0</v>
      </c>
      <c r="I32" s="588">
        <f>SUM(I33:I34)</f>
        <v>0</v>
      </c>
      <c r="J32" s="588">
        <f>SUM(J33:J34)</f>
        <v>0</v>
      </c>
      <c r="K32" s="588">
        <f>SUM(K33:K34)</f>
        <v>0</v>
      </c>
      <c r="L32" s="588">
        <f>SUM(L33:L34)</f>
        <v>0</v>
      </c>
      <c r="M32" s="298" t="s">
        <v>766</v>
      </c>
      <c r="N32" s="552"/>
      <c r="O32" s="1645"/>
      <c r="P32" s="1645"/>
      <c r="U32" s="1645"/>
      <c r="X32" s="553"/>
      <c r="AD32" s="1641"/>
      <c r="AE32" s="1641"/>
      <c r="AF32" s="1641"/>
      <c r="AG32" s="1641"/>
      <c r="AH32" s="1641"/>
      <c r="AI32" s="1169">
        <v>34</v>
      </c>
    </row>
    <row s="1651" customFormat="1" customHeight="1" ht="1.05">
      <c r="A33" s="1176"/>
      <c r="D33" s="557"/>
      <c r="E33" s="811" t="str">
        <f>E32&amp;".0"</f>
        <v>2.8.0</v>
      </c>
      <c r="F33" s="1000"/>
      <c r="G33" s="560"/>
      <c r="H33" s="1001"/>
      <c r="I33" s="1001"/>
      <c r="J33" s="1001"/>
      <c r="K33" s="1001"/>
      <c r="L33" s="1001"/>
      <c r="M33" s="1002"/>
      <c r="AI33" s="1645">
        <v>1</v>
      </c>
    </row>
    <row s="1375" customFormat="1" customHeight="1" ht="19.95">
      <c r="A34" s="996"/>
      <c r="C34" s="1645"/>
      <c r="D34" s="1642"/>
      <c r="E34" s="579"/>
      <c r="F34" s="1674" t="s">
        <v>596</v>
      </c>
      <c r="G34" s="581"/>
      <c r="H34" s="582"/>
      <c r="I34" s="582"/>
      <c r="J34" s="2688"/>
      <c r="K34" s="2689"/>
      <c r="L34" s="2690"/>
      <c r="M34" s="310" t="s">
        <v>767</v>
      </c>
      <c r="N34" s="552"/>
      <c r="O34" s="1645"/>
      <c r="P34" s="1645"/>
      <c r="U34" s="1645"/>
      <c r="X34" s="553"/>
      <c r="AD34" s="1641"/>
      <c r="AE34" s="1641"/>
      <c r="AF34" s="1641"/>
      <c r="AG34" s="1641"/>
      <c r="AH34" s="1641"/>
      <c r="AI34" s="1169">
        <v>19</v>
      </c>
    </row>
    <row customHeight="1" ht="60">
      <c r="D35" s="1647"/>
      <c r="E35" s="1683" t="s">
        <v>768</v>
      </c>
      <c r="F35" s="963" t="s">
        <v>769</v>
      </c>
      <c r="G35" s="1663" t="s">
        <v>565</v>
      </c>
      <c r="H35" s="1684"/>
      <c r="I35" s="1684"/>
      <c r="J35" s="1684"/>
      <c r="K35" s="1684"/>
      <c r="L35" s="1684"/>
      <c r="M35" s="298" t="s">
        <v>770</v>
      </c>
      <c r="N35" s="552"/>
      <c r="AI35" s="1640">
        <v>57</v>
      </c>
    </row>
    <row customHeight="1" ht="19.95">
      <c r="B36" s="1375"/>
      <c r="D36" s="2084"/>
      <c r="E36" s="1683" t="s">
        <v>771</v>
      </c>
      <c r="F36" s="2088" t="s">
        <v>772</v>
      </c>
      <c r="G36" s="2083" t="s">
        <v>565</v>
      </c>
      <c r="H36" s="2089"/>
      <c r="I36" s="2089"/>
      <c r="J36" s="2089"/>
      <c r="K36" s="2089"/>
      <c r="L36" s="2089"/>
      <c r="M36" s="2090" t="s">
        <v>773</v>
      </c>
      <c r="N36" s="552"/>
      <c r="Q36" s="1375"/>
      <c r="R36" s="1375"/>
      <c r="S36" s="1375"/>
      <c r="T36" s="1375"/>
      <c r="V36" s="1375"/>
      <c r="W36" s="1375"/>
      <c r="Y36" s="1375"/>
      <c r="Z36" s="1375"/>
      <c r="AA36" s="1375"/>
      <c r="AB36" s="1375"/>
      <c r="AC36" s="1375"/>
      <c r="AI36" s="1640">
        <v>19</v>
      </c>
    </row>
    <row customHeight="1" ht="19.95">
      <c r="B37" s="1375"/>
      <c r="D37" s="2084"/>
      <c r="E37" s="1683" t="s">
        <v>774</v>
      </c>
      <c r="F37" s="2088" t="s">
        <v>775</v>
      </c>
      <c r="G37" s="2083" t="s">
        <v>565</v>
      </c>
      <c r="H37" s="2089"/>
      <c r="I37" s="2089"/>
      <c r="J37" s="2089"/>
      <c r="K37" s="2089"/>
      <c r="L37" s="2089"/>
      <c r="M37" s="2090" t="s">
        <v>776</v>
      </c>
      <c r="N37" s="552"/>
      <c r="Q37" s="1375"/>
      <c r="R37" s="1375"/>
      <c r="S37" s="1375"/>
      <c r="T37" s="1375"/>
      <c r="V37" s="1375"/>
      <c r="W37" s="1375"/>
      <c r="Y37" s="1375"/>
      <c r="Z37" s="1375"/>
      <c r="AA37" s="1375"/>
      <c r="AB37" s="1375"/>
      <c r="AC37" s="1375"/>
      <c r="AI37" s="1640">
        <v>19</v>
      </c>
    </row>
    <row s="1375" customFormat="1" customHeight="1" ht="24">
      <c r="A38" s="998" t="s">
        <v>597</v>
      </c>
      <c r="C38" s="1645"/>
      <c r="D38" s="1647"/>
      <c r="E38" s="1673" t="s">
        <v>91</v>
      </c>
      <c r="F38" s="716" t="s">
        <v>777</v>
      </c>
      <c r="G38" s="1652" t="s">
        <v>565</v>
      </c>
      <c r="H38" s="566"/>
      <c r="I38" s="566"/>
      <c r="J38" s="566"/>
      <c r="K38" s="566"/>
      <c r="L38" s="566"/>
      <c r="M38" s="298" t="s">
        <v>778</v>
      </c>
      <c r="N38" s="552"/>
      <c r="O38" s="1645"/>
      <c r="P38" s="1645"/>
      <c r="U38" s="1645"/>
      <c r="X38" s="553"/>
      <c r="AD38" s="1641"/>
      <c r="AE38" s="1641"/>
      <c r="AF38" s="1641"/>
      <c r="AG38" s="1641"/>
      <c r="AH38" s="1641"/>
      <c r="AI38" s="1169">
        <v>23</v>
      </c>
    </row>
    <row s="1375" customFormat="1" customHeight="1" ht="35.699999999999996">
      <c r="A39" s="998"/>
      <c r="C39" s="1645"/>
      <c r="D39" s="1647"/>
      <c r="E39" s="1673" t="s">
        <v>339</v>
      </c>
      <c r="F39" s="963" t="s">
        <v>779</v>
      </c>
      <c r="G39" s="1663"/>
      <c r="H39" s="566"/>
      <c r="I39" s="566"/>
      <c r="J39" s="566"/>
      <c r="K39" s="566"/>
      <c r="L39" s="566"/>
      <c r="M39" s="298"/>
      <c r="N39" s="552"/>
      <c r="O39" s="1645"/>
      <c r="P39" s="1645"/>
      <c r="U39" s="1645"/>
      <c r="X39" s="553"/>
      <c r="AD39" s="1641"/>
      <c r="AE39" s="1641"/>
      <c r="AF39" s="1641"/>
      <c r="AG39" s="1641"/>
      <c r="AH39" s="1641"/>
      <c r="AI39" s="1169">
        <v>34</v>
      </c>
    </row>
    <row s="1375" customFormat="1" customHeight="1" ht="19.95">
      <c r="A40" s="996"/>
      <c r="C40" s="1645"/>
      <c r="D40" s="584"/>
      <c r="E40" s="1673" t="s">
        <v>92</v>
      </c>
      <c r="F40" s="716" t="s">
        <v>780</v>
      </c>
      <c r="G40" s="1652" t="s">
        <v>565</v>
      </c>
      <c r="H40" s="566"/>
      <c r="I40" s="566"/>
      <c r="J40" s="566"/>
      <c r="K40" s="566"/>
      <c r="L40" s="566"/>
      <c r="M40" s="298" t="s">
        <v>781</v>
      </c>
      <c r="N40" s="552"/>
      <c r="O40" s="1645"/>
      <c r="P40" s="1645"/>
      <c r="U40" s="1645"/>
      <c r="X40" s="553"/>
      <c r="AD40" s="1641"/>
      <c r="AE40" s="1641"/>
      <c r="AF40" s="1641"/>
      <c r="AG40" s="1641"/>
      <c r="AH40" s="1641"/>
      <c r="AI40" s="1169">
        <v>19</v>
      </c>
    </row>
    <row s="1375" customFormat="1" customHeight="1" ht="24">
      <c r="A41" s="996"/>
      <c r="C41" s="1645"/>
      <c r="D41" s="584"/>
      <c r="E41" s="1673" t="s">
        <v>782</v>
      </c>
      <c r="F41" s="963" t="s">
        <v>783</v>
      </c>
      <c r="G41" s="1663" t="s">
        <v>565</v>
      </c>
      <c r="H41" s="566"/>
      <c r="I41" s="566"/>
      <c r="J41" s="566"/>
      <c r="K41" s="566"/>
      <c r="L41" s="566"/>
      <c r="M41" s="298" t="s">
        <v>784</v>
      </c>
      <c r="N41" s="552"/>
      <c r="O41" s="1645"/>
      <c r="P41" s="1645"/>
      <c r="U41" s="1645"/>
      <c r="X41" s="553"/>
      <c r="AD41" s="1641"/>
      <c r="AE41" s="1641"/>
      <c r="AF41" s="1641"/>
      <c r="AG41" s="1641"/>
      <c r="AH41" s="1641"/>
      <c r="AI41" s="1169">
        <v>23</v>
      </c>
    </row>
    <row s="1375" customFormat="1" customHeight="1" ht="24">
      <c r="A42" s="996"/>
      <c r="C42" s="1645"/>
      <c r="D42" s="1647"/>
      <c r="E42" s="1673" t="s">
        <v>785</v>
      </c>
      <c r="F42" s="1659" t="s">
        <v>786</v>
      </c>
      <c r="G42" s="1652" t="s">
        <v>565</v>
      </c>
      <c r="H42" s="566"/>
      <c r="I42" s="566"/>
      <c r="J42" s="566"/>
      <c r="K42" s="566"/>
      <c r="L42" s="566"/>
      <c r="M42" s="298" t="s">
        <v>787</v>
      </c>
      <c r="N42" s="552"/>
      <c r="O42" s="1645"/>
      <c r="P42" s="1645"/>
      <c r="U42" s="1645"/>
      <c r="X42" s="553"/>
      <c r="AD42" s="1641"/>
      <c r="AE42" s="1641"/>
      <c r="AF42" s="1641"/>
      <c r="AG42" s="1641"/>
      <c r="AH42" s="1641"/>
      <c r="AI42" s="1169">
        <v>23</v>
      </c>
    </row>
    <row s="1375" customFormat="1" customHeight="1" ht="24">
      <c r="A43" s="996"/>
      <c r="C43" s="1645"/>
      <c r="D43" s="1647"/>
      <c r="E43" s="1673" t="s">
        <v>788</v>
      </c>
      <c r="F43" s="1659" t="s">
        <v>789</v>
      </c>
      <c r="G43" s="1652" t="s">
        <v>565</v>
      </c>
      <c r="H43" s="566"/>
      <c r="I43" s="566"/>
      <c r="J43" s="566"/>
      <c r="K43" s="566"/>
      <c r="L43" s="566"/>
      <c r="M43" s="298" t="s">
        <v>790</v>
      </c>
      <c r="N43" s="552"/>
      <c r="O43" s="1645"/>
      <c r="P43" s="1645"/>
      <c r="U43" s="1645"/>
      <c r="X43" s="553"/>
      <c r="AD43" s="1641"/>
      <c r="AE43" s="1641"/>
      <c r="AF43" s="1641"/>
      <c r="AG43" s="1641"/>
      <c r="AH43" s="1641"/>
      <c r="AI43" s="1169">
        <v>23</v>
      </c>
    </row>
    <row s="1375" customFormat="1" customHeight="1" ht="24">
      <c r="A44" s="996"/>
      <c r="C44" s="1645"/>
      <c r="D44" s="1647"/>
      <c r="E44" s="1673" t="s">
        <v>791</v>
      </c>
      <c r="F44" s="1659" t="s">
        <v>792</v>
      </c>
      <c r="G44" s="1652" t="s">
        <v>565</v>
      </c>
      <c r="H44" s="566"/>
      <c r="I44" s="566"/>
      <c r="J44" s="566"/>
      <c r="K44" s="566"/>
      <c r="L44" s="566"/>
      <c r="M44" s="298" t="s">
        <v>793</v>
      </c>
      <c r="N44" s="552"/>
      <c r="O44" s="1645"/>
      <c r="P44" s="1645"/>
      <c r="U44" s="1645"/>
      <c r="X44" s="553"/>
      <c r="AD44" s="1641"/>
      <c r="AE44" s="1641"/>
      <c r="AF44" s="1641"/>
      <c r="AG44" s="1641"/>
      <c r="AH44" s="1641"/>
      <c r="AI44" s="1169">
        <v>23</v>
      </c>
    </row>
    <row s="1375" customFormat="1" customHeight="1" ht="35.699999999999996">
      <c r="A45" s="996"/>
      <c r="C45" s="1645" t="s">
        <v>599</v>
      </c>
      <c r="D45" s="1647"/>
      <c r="E45" s="1673" t="s">
        <v>119</v>
      </c>
      <c r="F45" s="716" t="s">
        <v>652</v>
      </c>
      <c r="G45" s="1655" t="s">
        <v>794</v>
      </c>
      <c r="H45" s="410"/>
      <c r="I45" s="410"/>
      <c r="J45" s="827"/>
      <c r="K45" s="827"/>
      <c r="L45" s="827"/>
      <c r="M45" s="298" t="s">
        <v>795</v>
      </c>
      <c r="N45" s="552"/>
      <c r="O45" s="1645"/>
      <c r="P45" s="1645"/>
      <c r="U45" s="1645"/>
      <c r="X45" s="553"/>
      <c r="AD45" s="1641"/>
      <c r="AE45" s="1641"/>
      <c r="AF45" s="1641"/>
      <c r="AG45" s="1641"/>
      <c r="AH45" s="1641"/>
      <c r="AI45" s="1169">
        <v>34</v>
      </c>
    </row>
    <row s="1375" customFormat="1" customHeight="1" ht="35.699999999999996">
      <c r="A46" s="996"/>
      <c r="C46" s="1645"/>
      <c r="D46" s="1647"/>
      <c r="E46" s="1673" t="s">
        <v>93</v>
      </c>
      <c r="F46" s="716" t="s">
        <v>796</v>
      </c>
      <c r="G46" s="1652" t="s">
        <v>797</v>
      </c>
      <c r="H46" s="554"/>
      <c r="I46" s="554"/>
      <c r="J46" s="554"/>
      <c r="K46" s="554"/>
      <c r="L46" s="554"/>
      <c r="M46" s="298" t="s">
        <v>798</v>
      </c>
      <c r="N46" s="552"/>
      <c r="O46" s="1645"/>
      <c r="P46" s="1645"/>
      <c r="U46" s="1645"/>
      <c r="X46" s="553"/>
      <c r="AD46" s="1641"/>
      <c r="AE46" s="1641"/>
      <c r="AF46" s="1641"/>
      <c r="AG46" s="1641"/>
      <c r="AH46" s="1641"/>
      <c r="AI46" s="1169">
        <v>34</v>
      </c>
    </row>
    <row s="1375" customFormat="1" customHeight="1" ht="24">
      <c r="A47" s="996"/>
      <c r="C47" s="1645"/>
      <c r="D47" s="1647"/>
      <c r="E47" s="1673" t="s">
        <v>94</v>
      </c>
      <c r="F47" s="716" t="s">
        <v>799</v>
      </c>
      <c r="G47" s="1663" t="s">
        <v>800</v>
      </c>
      <c r="H47" s="554"/>
      <c r="I47" s="554"/>
      <c r="J47" s="554"/>
      <c r="K47" s="554"/>
      <c r="L47" s="554"/>
      <c r="M47" s="298" t="s">
        <v>801</v>
      </c>
      <c r="N47" s="552"/>
      <c r="O47" s="1645"/>
      <c r="P47" s="1645"/>
      <c r="U47" s="1645"/>
      <c r="X47" s="553"/>
      <c r="AD47" s="1641"/>
      <c r="AE47" s="1641"/>
      <c r="AF47" s="1641"/>
      <c r="AG47" s="1641"/>
      <c r="AH47" s="1641"/>
      <c r="AI47" s="1169">
        <v>23</v>
      </c>
    </row>
    <row s="1375" customFormat="1" customHeight="1" ht="19.95">
      <c r="A48" s="996"/>
      <c r="C48" s="1645"/>
      <c r="D48" s="1647"/>
      <c r="E48" s="1673" t="s">
        <v>120</v>
      </c>
      <c r="F48" s="716" t="s">
        <v>802</v>
      </c>
      <c r="G48" s="1652" t="s">
        <v>610</v>
      </c>
      <c r="H48" s="586"/>
      <c r="I48" s="586"/>
      <c r="J48" s="586"/>
      <c r="K48" s="586"/>
      <c r="L48" s="586"/>
      <c r="M48" s="298"/>
      <c r="N48" s="552"/>
      <c r="O48" s="1645"/>
      <c r="P48" s="1645"/>
      <c r="U48" s="1645"/>
      <c r="X48" s="553"/>
      <c r="AD48" s="1641"/>
      <c r="AE48" s="1641"/>
      <c r="AF48" s="1641"/>
      <c r="AG48" s="1641"/>
      <c r="AH48" s="1641"/>
      <c r="AI48" s="1169">
        <v>19</v>
      </c>
    </row>
    <row customHeight="1" ht="11.549999999999999">
      <c r="D49" s="1647"/>
      <c r="J49" s="1644"/>
      <c r="K49" s="1644"/>
      <c r="L49" s="1644"/>
      <c r="AI49" s="1640">
        <v>11</v>
      </c>
    </row>
    <row s="1650" customFormat="1" customHeight="1" ht="11.549999999999999">
      <c r="A50" s="996"/>
      <c r="B50" s="1645"/>
      <c r="C50" s="1645"/>
      <c r="D50" s="360"/>
      <c r="J50" s="1650"/>
      <c r="K50" s="1650"/>
      <c r="L50" s="1650"/>
      <c r="N50" s="1169"/>
      <c r="O50" s="1645"/>
      <c r="P50" s="1645"/>
      <c r="Q50" s="1169"/>
      <c r="R50" s="1169"/>
      <c r="S50" s="1169"/>
      <c r="T50" s="1169"/>
      <c r="U50" s="1645"/>
      <c r="V50" s="1169"/>
      <c r="W50" s="1169"/>
      <c r="X50" s="553"/>
      <c r="Y50" s="1169"/>
      <c r="Z50" s="1169"/>
      <c r="AA50" s="1169"/>
      <c r="AB50" s="1169"/>
      <c r="AC50" s="1169"/>
      <c r="AD50" s="1641"/>
      <c r="AE50" s="575"/>
      <c r="AF50" s="575"/>
      <c r="AG50" s="575"/>
      <c r="AH50" s="575"/>
      <c r="AI50" s="1650">
        <v>11</v>
      </c>
    </row>
    <row s="1650" customFormat="1" customHeight="1" ht="11.549999999999999">
      <c r="A51" s="996"/>
      <c r="B51" s="1645"/>
      <c r="C51" s="1645"/>
      <c r="D51" s="360"/>
      <c r="J51" s="1650"/>
      <c r="K51" s="1650"/>
      <c r="L51" s="1650"/>
      <c r="N51" s="1169"/>
      <c r="O51" s="1645"/>
      <c r="P51" s="1645"/>
      <c r="Q51" s="1169"/>
      <c r="R51" s="1169"/>
      <c r="S51" s="1169"/>
      <c r="T51" s="1169"/>
      <c r="U51" s="1645"/>
      <c r="V51" s="1169"/>
      <c r="W51" s="1169"/>
      <c r="X51" s="553"/>
      <c r="Y51" s="1169"/>
      <c r="Z51" s="1169"/>
      <c r="AA51" s="1169"/>
      <c r="AB51" s="1169"/>
      <c r="AC51" s="1169"/>
      <c r="AD51" s="1641"/>
      <c r="AE51" s="575"/>
      <c r="AF51" s="575"/>
      <c r="AG51" s="575"/>
      <c r="AH51" s="575"/>
      <c r="AI51" s="1650">
        <v>11</v>
      </c>
    </row>
    <row s="1650" customFormat="1" customHeight="1" ht="11.549999999999999">
      <c r="A52" s="996"/>
      <c r="B52" s="1645"/>
      <c r="C52" s="1645"/>
      <c r="D52" s="360"/>
      <c r="H52" s="575"/>
      <c r="I52" s="575"/>
      <c r="J52" s="631"/>
      <c r="K52" s="631"/>
      <c r="L52" s="631"/>
      <c r="N52" s="1169"/>
      <c r="O52" s="1645"/>
      <c r="P52" s="1645"/>
      <c r="Q52" s="1169"/>
      <c r="R52" s="1169"/>
      <c r="S52" s="1169"/>
      <c r="T52" s="1169"/>
      <c r="U52" s="1645"/>
      <c r="V52" s="1169"/>
      <c r="W52" s="1169"/>
      <c r="X52" s="553"/>
      <c r="Y52" s="1169"/>
      <c r="Z52" s="1169"/>
      <c r="AA52" s="1169"/>
      <c r="AB52" s="1169"/>
      <c r="AC52" s="1169"/>
      <c r="AD52" s="1641"/>
      <c r="AE52" s="575"/>
      <c r="AF52" s="575"/>
      <c r="AG52" s="575"/>
      <c r="AH52" s="575"/>
      <c r="AI52" s="1650">
        <v>11</v>
      </c>
    </row>
    <row s="1650" customFormat="1" customHeight="1" ht="11.549999999999999">
      <c r="A53" s="996"/>
      <c r="B53" s="1645"/>
      <c r="C53" s="1645"/>
      <c r="D53" s="360"/>
      <c r="J53" s="1650"/>
      <c r="K53" s="1650"/>
      <c r="L53" s="1650"/>
      <c r="N53" s="1169"/>
      <c r="O53" s="1645"/>
      <c r="P53" s="1645"/>
      <c r="Q53" s="1169"/>
      <c r="R53" s="1169"/>
      <c r="S53" s="1169"/>
      <c r="T53" s="1169"/>
      <c r="U53" s="1645"/>
      <c r="V53" s="1169"/>
      <c r="W53" s="1169"/>
      <c r="X53" s="553"/>
      <c r="Y53" s="1169"/>
      <c r="Z53" s="1169"/>
      <c r="AA53" s="1169"/>
      <c r="AB53" s="1169"/>
      <c r="AC53" s="1169"/>
      <c r="AD53" s="1641"/>
      <c r="AE53" s="575"/>
      <c r="AF53" s="575"/>
      <c r="AG53" s="575"/>
      <c r="AH53" s="575"/>
      <c r="AI53" s="1650">
        <v>11</v>
      </c>
    </row>
    <row s="1650" customFormat="1" customHeight="1" ht="11.549999999999999">
      <c r="A54" s="996"/>
      <c r="B54" s="1645"/>
      <c r="C54" s="1645"/>
      <c r="D54" s="360"/>
      <c r="J54" s="1650"/>
      <c r="K54" s="1650"/>
      <c r="L54" s="1650"/>
      <c r="N54" s="1169"/>
      <c r="O54" s="1645"/>
      <c r="P54" s="1645"/>
      <c r="Q54" s="1169"/>
      <c r="R54" s="1169"/>
      <c r="S54" s="1169"/>
      <c r="T54" s="1169"/>
      <c r="U54" s="1645"/>
      <c r="V54" s="1169"/>
      <c r="W54" s="1169"/>
      <c r="X54" s="553"/>
      <c r="Y54" s="1169"/>
      <c r="Z54" s="1169"/>
      <c r="AA54" s="1169"/>
      <c r="AB54" s="1169"/>
      <c r="AC54" s="1169"/>
      <c r="AD54" s="1641"/>
      <c r="AE54" s="575"/>
      <c r="AF54" s="575"/>
      <c r="AG54" s="575"/>
      <c r="AH54" s="575"/>
      <c r="AI54" s="1650">
        <v>11</v>
      </c>
    </row>
    <row s="1650" customFormat="1" customHeight="1" ht="11.549999999999999">
      <c r="A55" s="996"/>
      <c r="B55" s="1645"/>
      <c r="C55" s="1645"/>
      <c r="D55" s="360"/>
      <c r="J55" s="1650"/>
      <c r="K55" s="1650"/>
      <c r="L55" s="1650"/>
      <c r="N55" s="1169"/>
      <c r="O55" s="1645"/>
      <c r="P55" s="1645"/>
      <c r="Q55" s="1169"/>
      <c r="R55" s="1169"/>
      <c r="S55" s="1169"/>
      <c r="T55" s="1169"/>
      <c r="U55" s="1645"/>
      <c r="V55" s="1169"/>
      <c r="W55" s="1169"/>
      <c r="X55" s="553"/>
      <c r="Y55" s="1169"/>
      <c r="Z55" s="1169"/>
      <c r="AA55" s="1169"/>
      <c r="AB55" s="1169"/>
      <c r="AC55" s="1169"/>
      <c r="AD55" s="1641"/>
      <c r="AE55" s="575"/>
      <c r="AF55" s="575"/>
      <c r="AG55" s="575"/>
      <c r="AH55" s="575"/>
      <c r="AI55" s="1650">
        <v>11</v>
      </c>
    </row>
    <row s="1650" customFormat="1" customHeight="1" ht="11.549999999999999">
      <c r="A56" s="996"/>
      <c r="B56" s="1645"/>
      <c r="C56" s="1645"/>
      <c r="D56" s="360"/>
      <c r="J56" s="1650"/>
      <c r="K56" s="1650"/>
      <c r="L56" s="1650"/>
      <c r="N56" s="1169"/>
      <c r="O56" s="1645"/>
      <c r="P56" s="1645"/>
      <c r="Q56" s="1169"/>
      <c r="R56" s="1169"/>
      <c r="S56" s="1169"/>
      <c r="T56" s="1169"/>
      <c r="U56" s="1645"/>
      <c r="V56" s="1169"/>
      <c r="W56" s="1169"/>
      <c r="X56" s="553"/>
      <c r="Y56" s="1169"/>
      <c r="Z56" s="1169"/>
      <c r="AA56" s="1169"/>
      <c r="AB56" s="1169"/>
      <c r="AC56" s="1169"/>
      <c r="AD56" s="1641"/>
      <c r="AE56" s="575"/>
      <c r="AF56" s="575"/>
      <c r="AG56" s="575"/>
      <c r="AH56" s="575"/>
      <c r="AI56" s="1650">
        <v>11</v>
      </c>
    </row>
    <row s="1650" customFormat="1" customHeight="1" ht="11.549999999999999">
      <c r="A57" s="996"/>
      <c r="B57" s="1645"/>
      <c r="C57" s="1645"/>
      <c r="D57" s="360"/>
      <c r="J57" s="1650"/>
      <c r="K57" s="1650"/>
      <c r="L57" s="1650"/>
      <c r="N57" s="1169"/>
      <c r="O57" s="1645"/>
      <c r="P57" s="1645"/>
      <c r="Q57" s="1169"/>
      <c r="R57" s="1169"/>
      <c r="S57" s="1169"/>
      <c r="T57" s="1169"/>
      <c r="U57" s="1645"/>
      <c r="V57" s="1169"/>
      <c r="W57" s="1169"/>
      <c r="X57" s="553"/>
      <c r="Y57" s="1169"/>
      <c r="Z57" s="1169"/>
      <c r="AA57" s="1169"/>
      <c r="AB57" s="1169"/>
      <c r="AC57" s="1169"/>
      <c r="AD57" s="1641"/>
      <c r="AE57" s="575"/>
      <c r="AF57" s="575"/>
      <c r="AG57" s="575"/>
      <c r="AH57" s="575"/>
      <c r="AI57" s="1650">
        <v>11</v>
      </c>
    </row>
    <row s="1650" customFormat="1" customHeight="1" ht="11.549999999999999">
      <c r="A58" s="996"/>
      <c r="B58" s="1645"/>
      <c r="C58" s="1645"/>
      <c r="D58" s="360"/>
      <c r="J58" s="1650"/>
      <c r="K58" s="1650"/>
      <c r="L58" s="1650"/>
      <c r="N58" s="1169"/>
      <c r="O58" s="1645"/>
      <c r="P58" s="1645"/>
      <c r="Q58" s="1169"/>
      <c r="R58" s="1169"/>
      <c r="S58" s="1169"/>
      <c r="T58" s="1169"/>
      <c r="U58" s="1645"/>
      <c r="V58" s="1169"/>
      <c r="W58" s="1169"/>
      <c r="X58" s="553"/>
      <c r="Y58" s="1169"/>
      <c r="Z58" s="1169"/>
      <c r="AA58" s="1169"/>
      <c r="AB58" s="1169"/>
      <c r="AC58" s="1169"/>
      <c r="AD58" s="1641"/>
      <c r="AE58" s="575"/>
      <c r="AF58" s="575"/>
      <c r="AG58" s="575"/>
      <c r="AH58" s="575"/>
      <c r="AI58" s="1650">
        <v>11</v>
      </c>
    </row>
    <row s="1650" customFormat="1" customHeight="1" ht="11.549999999999999">
      <c r="A59" s="996"/>
      <c r="B59" s="1645"/>
      <c r="C59" s="1645"/>
      <c r="D59" s="360"/>
      <c r="J59" s="1650"/>
      <c r="K59" s="1650"/>
      <c r="L59" s="1650"/>
      <c r="N59" s="1169"/>
      <c r="O59" s="1645"/>
      <c r="P59" s="1645"/>
      <c r="Q59" s="1169"/>
      <c r="R59" s="1169"/>
      <c r="S59" s="1169"/>
      <c r="T59" s="1169"/>
      <c r="U59" s="1645"/>
      <c r="V59" s="1169"/>
      <c r="W59" s="1169"/>
      <c r="X59" s="553"/>
      <c r="Y59" s="1169"/>
      <c r="Z59" s="1169"/>
      <c r="AA59" s="1169"/>
      <c r="AB59" s="1169"/>
      <c r="AC59" s="1169"/>
      <c r="AD59" s="1641"/>
      <c r="AE59" s="575"/>
      <c r="AF59" s="575"/>
      <c r="AG59" s="575"/>
      <c r="AH59" s="575"/>
      <c r="AI59" s="1650">
        <v>11</v>
      </c>
    </row>
    <row s="1650" customFormat="1" customHeight="1" ht="11.549999999999999">
      <c r="A60" s="996"/>
      <c r="B60" s="1645"/>
      <c r="C60" s="1645"/>
      <c r="D60" s="360"/>
      <c r="J60" s="1650"/>
      <c r="K60" s="1650"/>
      <c r="L60" s="1650"/>
      <c r="N60" s="1169"/>
      <c r="O60" s="1645"/>
      <c r="P60" s="1645"/>
      <c r="Q60" s="1169"/>
      <c r="R60" s="1169"/>
      <c r="S60" s="1169"/>
      <c r="T60" s="1169"/>
      <c r="U60" s="1645"/>
      <c r="V60" s="1169"/>
      <c r="W60" s="1169"/>
      <c r="X60" s="553"/>
      <c r="Y60" s="1169"/>
      <c r="Z60" s="1169"/>
      <c r="AA60" s="1169"/>
      <c r="AB60" s="1169"/>
      <c r="AC60" s="1169"/>
      <c r="AD60" s="1641"/>
      <c r="AE60" s="575"/>
      <c r="AF60" s="575"/>
      <c r="AG60" s="575"/>
      <c r="AH60" s="575"/>
      <c r="AI60" s="1650">
        <v>11</v>
      </c>
    </row>
    <row s="1650" customFormat="1" customHeight="1" ht="11.549999999999999">
      <c r="A61" s="996"/>
      <c r="B61" s="1645"/>
      <c r="C61" s="1645"/>
      <c r="D61" s="360"/>
      <c r="J61" s="1650"/>
      <c r="K61" s="1650"/>
      <c r="L61" s="1650"/>
      <c r="N61" s="1169"/>
      <c r="O61" s="1645"/>
      <c r="P61" s="1645"/>
      <c r="Q61" s="1169"/>
      <c r="R61" s="1169"/>
      <c r="S61" s="1169"/>
      <c r="T61" s="1169"/>
      <c r="U61" s="1645"/>
      <c r="V61" s="1169"/>
      <c r="W61" s="1169"/>
      <c r="X61" s="553"/>
      <c r="Y61" s="1169"/>
      <c r="Z61" s="1169"/>
      <c r="AA61" s="1169"/>
      <c r="AB61" s="1169"/>
      <c r="AC61" s="1169"/>
      <c r="AD61" s="1641"/>
      <c r="AE61" s="575"/>
      <c r="AF61" s="575"/>
      <c r="AG61" s="575"/>
      <c r="AH61" s="575"/>
      <c r="AI61" s="1650">
        <v>11</v>
      </c>
    </row>
    <row s="1650" customFormat="1" customHeight="1" ht="11.549999999999999">
      <c r="A62" s="996"/>
      <c r="B62" s="1645"/>
      <c r="C62" s="1645"/>
      <c r="D62" s="360"/>
      <c r="J62" s="1650"/>
      <c r="K62" s="1650"/>
      <c r="L62" s="1650"/>
      <c r="N62" s="1169"/>
      <c r="O62" s="1645"/>
      <c r="P62" s="1645"/>
      <c r="Q62" s="1169"/>
      <c r="R62" s="1169"/>
      <c r="S62" s="1169"/>
      <c r="T62" s="1169"/>
      <c r="U62" s="1645"/>
      <c r="V62" s="1169"/>
      <c r="W62" s="1169"/>
      <c r="X62" s="553"/>
      <c r="Y62" s="1169"/>
      <c r="Z62" s="1169"/>
      <c r="AA62" s="1169"/>
      <c r="AB62" s="1169"/>
      <c r="AC62" s="1169"/>
      <c r="AD62" s="1641"/>
      <c r="AE62" s="575"/>
      <c r="AF62" s="575"/>
      <c r="AG62" s="575"/>
      <c r="AH62" s="575"/>
      <c r="AI62" s="1650">
        <v>11</v>
      </c>
    </row>
    <row s="1650" customFormat="1" customHeight="1" ht="11.549999999999999">
      <c r="A63" s="996"/>
      <c r="B63" s="1645"/>
      <c r="C63" s="1645"/>
      <c r="D63" s="360"/>
      <c r="J63" s="1650"/>
      <c r="K63" s="1650"/>
      <c r="L63" s="1650"/>
      <c r="N63" s="1169"/>
      <c r="O63" s="1645"/>
      <c r="P63" s="1645"/>
      <c r="Q63" s="1169"/>
      <c r="R63" s="1169"/>
      <c r="S63" s="1169"/>
      <c r="T63" s="1169"/>
      <c r="U63" s="1645"/>
      <c r="V63" s="1169"/>
      <c r="W63" s="1169"/>
      <c r="X63" s="553"/>
      <c r="Y63" s="1169"/>
      <c r="Z63" s="1169"/>
      <c r="AA63" s="1169"/>
      <c r="AB63" s="1169"/>
      <c r="AC63" s="1169"/>
      <c r="AD63" s="1641"/>
      <c r="AE63" s="575"/>
      <c r="AF63" s="575"/>
      <c r="AG63" s="575"/>
      <c r="AH63" s="575"/>
      <c r="AI63" s="1650">
        <v>11</v>
      </c>
    </row>
    <row s="1650" customFormat="1" customHeight="1" ht="11.549999999999999">
      <c r="A64" s="996"/>
      <c r="B64" s="1645"/>
      <c r="C64" s="1645"/>
      <c r="D64" s="360"/>
      <c r="J64" s="1650"/>
      <c r="K64" s="1650"/>
      <c r="L64" s="1650"/>
      <c r="N64" s="1169"/>
      <c r="O64" s="1645"/>
      <c r="P64" s="1645"/>
      <c r="Q64" s="1169"/>
      <c r="R64" s="1169"/>
      <c r="S64" s="1169"/>
      <c r="T64" s="1169"/>
      <c r="U64" s="1645"/>
      <c r="V64" s="1169"/>
      <c r="W64" s="1169"/>
      <c r="X64" s="553"/>
      <c r="Y64" s="1169"/>
      <c r="Z64" s="1169"/>
      <c r="AA64" s="1169"/>
      <c r="AB64" s="1169"/>
      <c r="AC64" s="1169"/>
      <c r="AD64" s="1641"/>
      <c r="AE64" s="575"/>
      <c r="AF64" s="575"/>
      <c r="AG64" s="575"/>
      <c r="AH64" s="575"/>
      <c r="AI64" s="1650">
        <v>11</v>
      </c>
    </row>
    <row s="1650" customFormat="1" customHeight="1" ht="11.549999999999999">
      <c r="A65" s="996"/>
      <c r="B65" s="1645"/>
      <c r="C65" s="1645"/>
      <c r="D65" s="360"/>
      <c r="J65" s="1650"/>
      <c r="K65" s="1650"/>
      <c r="L65" s="1650"/>
      <c r="N65" s="1169"/>
      <c r="O65" s="1645"/>
      <c r="P65" s="1645"/>
      <c r="Q65" s="1169"/>
      <c r="R65" s="1169"/>
      <c r="S65" s="1169"/>
      <c r="T65" s="1169"/>
      <c r="U65" s="1645"/>
      <c r="V65" s="1169"/>
      <c r="W65" s="1169"/>
      <c r="X65" s="553"/>
      <c r="Y65" s="1169"/>
      <c r="Z65" s="1169"/>
      <c r="AA65" s="1169"/>
      <c r="AB65" s="1169"/>
      <c r="AC65" s="1169"/>
      <c r="AD65" s="1641"/>
      <c r="AE65" s="575"/>
      <c r="AF65" s="575"/>
      <c r="AG65" s="575"/>
      <c r="AH65" s="575"/>
      <c r="AI65" s="1650">
        <v>11</v>
      </c>
    </row>
    <row s="1650" customFormat="1" customHeight="1" ht="11.549999999999999">
      <c r="A66" s="996"/>
      <c r="B66" s="1645"/>
      <c r="C66" s="1645"/>
      <c r="D66" s="360"/>
      <c r="J66" s="1650"/>
      <c r="K66" s="1650"/>
      <c r="L66" s="1650"/>
      <c r="N66" s="1169"/>
      <c r="O66" s="1645"/>
      <c r="P66" s="1645"/>
      <c r="Q66" s="1169"/>
      <c r="R66" s="1169"/>
      <c r="S66" s="1169"/>
      <c r="T66" s="1169"/>
      <c r="U66" s="1645"/>
      <c r="V66" s="1169"/>
      <c r="W66" s="1169"/>
      <c r="X66" s="553"/>
      <c r="Y66" s="1169"/>
      <c r="Z66" s="1169"/>
      <c r="AA66" s="1169"/>
      <c r="AB66" s="1169"/>
      <c r="AC66" s="1169"/>
      <c r="AD66" s="1641"/>
      <c r="AE66" s="575"/>
      <c r="AF66" s="575"/>
      <c r="AG66" s="575"/>
      <c r="AH66" s="575"/>
      <c r="AI66" s="1650">
        <v>11</v>
      </c>
    </row>
    <row s="1650" customFormat="1" customHeight="1" ht="11.549999999999999">
      <c r="A67" s="996"/>
      <c r="B67" s="1645"/>
      <c r="C67" s="1645"/>
      <c r="D67" s="360"/>
      <c r="J67" s="1650"/>
      <c r="K67" s="1650"/>
      <c r="L67" s="1650"/>
      <c r="N67" s="1169"/>
      <c r="O67" s="1645"/>
      <c r="P67" s="1645"/>
      <c r="Q67" s="1169"/>
      <c r="R67" s="1169"/>
      <c r="S67" s="1169"/>
      <c r="T67" s="1169"/>
      <c r="U67" s="1645"/>
      <c r="V67" s="1169"/>
      <c r="W67" s="1169"/>
      <c r="X67" s="553"/>
      <c r="Y67" s="1169"/>
      <c r="Z67" s="1169"/>
      <c r="AA67" s="1169"/>
      <c r="AB67" s="1169"/>
      <c r="AC67" s="1169"/>
      <c r="AD67" s="1641"/>
      <c r="AE67" s="575"/>
      <c r="AF67" s="575"/>
      <c r="AG67" s="575"/>
      <c r="AH67" s="575"/>
      <c r="AI67" s="1650">
        <v>11</v>
      </c>
    </row>
    <row s="1650" customFormat="1" customHeight="1" ht="11.549999999999999">
      <c r="A68" s="996"/>
      <c r="B68" s="1645"/>
      <c r="C68" s="1645"/>
      <c r="D68" s="360"/>
      <c r="J68" s="1650"/>
      <c r="K68" s="1650"/>
      <c r="L68" s="1650"/>
      <c r="N68" s="1169"/>
      <c r="O68" s="1645"/>
      <c r="P68" s="1645"/>
      <c r="Q68" s="1169"/>
      <c r="R68" s="1169"/>
      <c r="S68" s="1169"/>
      <c r="T68" s="1169"/>
      <c r="U68" s="1645"/>
      <c r="V68" s="1169"/>
      <c r="W68" s="1169"/>
      <c r="X68" s="553"/>
      <c r="Y68" s="1169"/>
      <c r="Z68" s="1169"/>
      <c r="AA68" s="1169"/>
      <c r="AB68" s="1169"/>
      <c r="AC68" s="1169"/>
      <c r="AD68" s="1641"/>
      <c r="AE68" s="575"/>
      <c r="AF68" s="575"/>
      <c r="AG68" s="575"/>
      <c r="AH68" s="575"/>
      <c r="AI68" s="1650">
        <v>11</v>
      </c>
    </row>
    <row s="1650" customFormat="1" customHeight="1" ht="11.549999999999999">
      <c r="A69" s="996"/>
      <c r="B69" s="1645"/>
      <c r="C69" s="1645"/>
      <c r="D69" s="360"/>
      <c r="J69" s="1650"/>
      <c r="K69" s="1650"/>
      <c r="L69" s="1650"/>
      <c r="N69" s="1169"/>
      <c r="O69" s="1645"/>
      <c r="P69" s="1645"/>
      <c r="Q69" s="1169"/>
      <c r="R69" s="1169"/>
      <c r="S69" s="1169"/>
      <c r="T69" s="1169"/>
      <c r="U69" s="1645"/>
      <c r="V69" s="1169"/>
      <c r="W69" s="1169"/>
      <c r="X69" s="553"/>
      <c r="Y69" s="1169"/>
      <c r="Z69" s="1169"/>
      <c r="AA69" s="1169"/>
      <c r="AB69" s="1169"/>
      <c r="AC69" s="1169"/>
      <c r="AD69" s="1641"/>
      <c r="AE69" s="575"/>
      <c r="AF69" s="575"/>
      <c r="AG69" s="575"/>
      <c r="AH69" s="575"/>
      <c r="AI69" s="1650">
        <v>11</v>
      </c>
    </row>
    <row s="1650" customFormat="1" customHeight="1" ht="11.549999999999999">
      <c r="A70" s="996"/>
      <c r="B70" s="1645"/>
      <c r="C70" s="1645"/>
      <c r="D70" s="360"/>
      <c r="J70" s="1650"/>
      <c r="K70" s="1650"/>
      <c r="L70" s="1650"/>
      <c r="N70" s="1169"/>
      <c r="O70" s="1645"/>
      <c r="P70" s="1645"/>
      <c r="Q70" s="1169"/>
      <c r="R70" s="1169"/>
      <c r="S70" s="1169"/>
      <c r="T70" s="1169"/>
      <c r="U70" s="1645"/>
      <c r="V70" s="1169"/>
      <c r="W70" s="1169"/>
      <c r="X70" s="553"/>
      <c r="Y70" s="1169"/>
      <c r="Z70" s="1169"/>
      <c r="AA70" s="1169"/>
      <c r="AB70" s="1169"/>
      <c r="AC70" s="1169"/>
      <c r="AD70" s="1641"/>
      <c r="AE70" s="575"/>
      <c r="AF70" s="575"/>
      <c r="AG70" s="575"/>
      <c r="AH70" s="575"/>
      <c r="AI70" s="1650">
        <v>11</v>
      </c>
    </row>
    <row s="1650" customFormat="1" customHeight="1" ht="11.549999999999999">
      <c r="A71" s="996"/>
      <c r="B71" s="1645"/>
      <c r="C71" s="1645"/>
      <c r="D71" s="360"/>
      <c r="J71" s="1650"/>
      <c r="K71" s="1650"/>
      <c r="L71" s="1650"/>
      <c r="N71" s="1169"/>
      <c r="O71" s="1645"/>
      <c r="P71" s="1645"/>
      <c r="Q71" s="1169"/>
      <c r="R71" s="1169"/>
      <c r="S71" s="1169"/>
      <c r="T71" s="1169"/>
      <c r="U71" s="1645"/>
      <c r="V71" s="1169"/>
      <c r="W71" s="1169"/>
      <c r="X71" s="553"/>
      <c r="Y71" s="1169"/>
      <c r="Z71" s="1169"/>
      <c r="AA71" s="1169"/>
      <c r="AB71" s="1169"/>
      <c r="AC71" s="1169"/>
      <c r="AD71" s="1641"/>
      <c r="AE71" s="575"/>
      <c r="AF71" s="575"/>
      <c r="AG71" s="575"/>
      <c r="AH71" s="575"/>
      <c r="AI71" s="1650">
        <v>11</v>
      </c>
    </row>
    <row s="1650" customFormat="1" customHeight="1" ht="11.549999999999999">
      <c r="A72" s="996"/>
      <c r="B72" s="1645"/>
      <c r="C72" s="1645"/>
      <c r="D72" s="360"/>
      <c r="J72" s="1650"/>
      <c r="K72" s="1650"/>
      <c r="L72" s="1650"/>
      <c r="N72" s="1169"/>
      <c r="O72" s="1645"/>
      <c r="P72" s="1645"/>
      <c r="Q72" s="1169"/>
      <c r="R72" s="1169"/>
      <c r="S72" s="1169"/>
      <c r="T72" s="1169"/>
      <c r="U72" s="1645"/>
      <c r="V72" s="1169"/>
      <c r="W72" s="1169"/>
      <c r="X72" s="553"/>
      <c r="Y72" s="1169"/>
      <c r="Z72" s="1169"/>
      <c r="AA72" s="1169"/>
      <c r="AB72" s="1169"/>
      <c r="AC72" s="1169"/>
      <c r="AD72" s="1641"/>
      <c r="AE72" s="575"/>
      <c r="AF72" s="575"/>
      <c r="AG72" s="575"/>
      <c r="AH72" s="575"/>
      <c r="AI72" s="1650">
        <v>11</v>
      </c>
    </row>
    <row s="1650" customFormat="1" customHeight="1" ht="11.549999999999999">
      <c r="A73" s="996"/>
      <c r="B73" s="1645"/>
      <c r="C73" s="1645"/>
      <c r="D73" s="360"/>
      <c r="J73" s="1650"/>
      <c r="K73" s="1650"/>
      <c r="L73" s="1650"/>
      <c r="N73" s="1169"/>
      <c r="O73" s="1645"/>
      <c r="P73" s="1645"/>
      <c r="Q73" s="1169"/>
      <c r="R73" s="1169"/>
      <c r="S73" s="1169"/>
      <c r="T73" s="1169"/>
      <c r="U73" s="1645"/>
      <c r="V73" s="1169"/>
      <c r="W73" s="1169"/>
      <c r="X73" s="553"/>
      <c r="Y73" s="1169"/>
      <c r="Z73" s="1169"/>
      <c r="AA73" s="1169"/>
      <c r="AB73" s="1169"/>
      <c r="AC73" s="1169"/>
      <c r="AD73" s="1641"/>
      <c r="AE73" s="575"/>
      <c r="AF73" s="575"/>
      <c r="AG73" s="575"/>
      <c r="AH73" s="575"/>
      <c r="AI73" s="1650">
        <v>11</v>
      </c>
    </row>
    <row s="1650" customFormat="1" customHeight="1" ht="11.549999999999999">
      <c r="A74" s="996"/>
      <c r="B74" s="1645"/>
      <c r="C74" s="1645"/>
      <c r="D74" s="360"/>
      <c r="J74" s="1650"/>
      <c r="K74" s="1650"/>
      <c r="L74" s="1650"/>
      <c r="N74" s="1169"/>
      <c r="O74" s="1645"/>
      <c r="P74" s="1645"/>
      <c r="Q74" s="1169"/>
      <c r="R74" s="1169"/>
      <c r="S74" s="1169"/>
      <c r="T74" s="1169"/>
      <c r="U74" s="1645"/>
      <c r="V74" s="1169"/>
      <c r="W74" s="1169"/>
      <c r="X74" s="553"/>
      <c r="Y74" s="1169"/>
      <c r="Z74" s="1169"/>
      <c r="AA74" s="1169"/>
      <c r="AB74" s="1169"/>
      <c r="AC74" s="1169"/>
      <c r="AD74" s="1641"/>
      <c r="AE74" s="575"/>
      <c r="AF74" s="575"/>
      <c r="AG74" s="575"/>
      <c r="AH74" s="575"/>
      <c r="AI74" s="1650">
        <v>11</v>
      </c>
    </row>
    <row s="1650" customFormat="1" customHeight="1" ht="11.549999999999999">
      <c r="A75" s="996"/>
      <c r="B75" s="1645"/>
      <c r="C75" s="1645"/>
      <c r="D75" s="360"/>
      <c r="J75" s="1650"/>
      <c r="K75" s="1650"/>
      <c r="L75" s="1650"/>
      <c r="N75" s="1169"/>
      <c r="O75" s="1645"/>
      <c r="P75" s="1645"/>
      <c r="Q75" s="1169"/>
      <c r="R75" s="1169"/>
      <c r="S75" s="1169"/>
      <c r="T75" s="1169"/>
      <c r="U75" s="1645"/>
      <c r="V75" s="1169"/>
      <c r="W75" s="1169"/>
      <c r="X75" s="553"/>
      <c r="Y75" s="1169"/>
      <c r="Z75" s="1169"/>
      <c r="AA75" s="1169"/>
      <c r="AB75" s="1169"/>
      <c r="AC75" s="1169"/>
      <c r="AD75" s="1641"/>
      <c r="AE75" s="575"/>
      <c r="AF75" s="575"/>
      <c r="AG75" s="575"/>
      <c r="AH75" s="575"/>
      <c r="AI75" s="1650">
        <v>11</v>
      </c>
    </row>
    <row s="1650" customFormat="1" customHeight="1" ht="11.549999999999999">
      <c r="A76" s="996"/>
      <c r="B76" s="1645"/>
      <c r="C76" s="1645"/>
      <c r="D76" s="360"/>
      <c r="J76" s="1650"/>
      <c r="K76" s="1650"/>
      <c r="L76" s="1650"/>
      <c r="N76" s="1169"/>
      <c r="O76" s="1645"/>
      <c r="P76" s="1645"/>
      <c r="Q76" s="1169"/>
      <c r="R76" s="1169"/>
      <c r="S76" s="1169"/>
      <c r="T76" s="1169"/>
      <c r="U76" s="1645"/>
      <c r="V76" s="1169"/>
      <c r="W76" s="1169"/>
      <c r="X76" s="553"/>
      <c r="Y76" s="1169"/>
      <c r="Z76" s="1169"/>
      <c r="AA76" s="1169"/>
      <c r="AB76" s="1169"/>
      <c r="AC76" s="1169"/>
      <c r="AD76" s="1641"/>
      <c r="AE76" s="575"/>
      <c r="AF76" s="575"/>
      <c r="AG76" s="575"/>
      <c r="AH76" s="575"/>
      <c r="AI76" s="1650">
        <v>11</v>
      </c>
    </row>
    <row s="1650" customFormat="1" customHeight="1" ht="11.549999999999999">
      <c r="A77" s="996"/>
      <c r="B77" s="1645"/>
      <c r="C77" s="1645"/>
      <c r="D77" s="360"/>
      <c r="J77" s="1650"/>
      <c r="K77" s="1650"/>
      <c r="L77" s="1650"/>
      <c r="N77" s="1169"/>
      <c r="O77" s="1645"/>
      <c r="P77" s="1645"/>
      <c r="Q77" s="1169"/>
      <c r="R77" s="1169"/>
      <c r="S77" s="1169"/>
      <c r="T77" s="1169"/>
      <c r="U77" s="1645"/>
      <c r="V77" s="1169"/>
      <c r="W77" s="1169"/>
      <c r="X77" s="553"/>
      <c r="Y77" s="1169"/>
      <c r="Z77" s="1169"/>
      <c r="AA77" s="1169"/>
      <c r="AB77" s="1169"/>
      <c r="AC77" s="1169"/>
      <c r="AD77" s="1641"/>
      <c r="AE77" s="575"/>
      <c r="AF77" s="575"/>
      <c r="AG77" s="575"/>
      <c r="AH77" s="575"/>
      <c r="AI77" s="1650">
        <v>11</v>
      </c>
    </row>
    <row s="1650" customFormat="1" customHeight="1" ht="11.549999999999999">
      <c r="A78" s="996"/>
      <c r="B78" s="1645"/>
      <c r="C78" s="1645"/>
      <c r="D78" s="360"/>
      <c r="J78" s="1650"/>
      <c r="K78" s="1650"/>
      <c r="L78" s="1650"/>
      <c r="N78" s="1169"/>
      <c r="O78" s="1645"/>
      <c r="P78" s="1645"/>
      <c r="Q78" s="1169"/>
      <c r="R78" s="1169"/>
      <c r="S78" s="1169"/>
      <c r="T78" s="1169"/>
      <c r="U78" s="1645"/>
      <c r="V78" s="1169"/>
      <c r="W78" s="1169"/>
      <c r="X78" s="553"/>
      <c r="Y78" s="1169"/>
      <c r="Z78" s="1169"/>
      <c r="AA78" s="1169"/>
      <c r="AB78" s="1169"/>
      <c r="AC78" s="1169"/>
      <c r="AD78" s="1641"/>
      <c r="AE78" s="575"/>
      <c r="AF78" s="575"/>
      <c r="AG78" s="575"/>
      <c r="AH78" s="575"/>
      <c r="AI78" s="1650">
        <v>11</v>
      </c>
    </row>
    <row s="1650" customFormat="1" customHeight="1" ht="11.549999999999999">
      <c r="A79" s="996"/>
      <c r="B79" s="1645"/>
      <c r="C79" s="1645"/>
      <c r="D79" s="360"/>
      <c r="J79" s="1650"/>
      <c r="K79" s="1650"/>
      <c r="L79" s="1650"/>
      <c r="N79" s="1169"/>
      <c r="O79" s="1645"/>
      <c r="P79" s="1645"/>
      <c r="Q79" s="1169"/>
      <c r="R79" s="1169"/>
      <c r="S79" s="1169"/>
      <c r="T79" s="1169"/>
      <c r="U79" s="1645"/>
      <c r="V79" s="1169"/>
      <c r="W79" s="1169"/>
      <c r="X79" s="553"/>
      <c r="Y79" s="1169"/>
      <c r="Z79" s="1169"/>
      <c r="AA79" s="1169"/>
      <c r="AB79" s="1169"/>
      <c r="AC79" s="1169"/>
      <c r="AD79" s="1641"/>
      <c r="AE79" s="575"/>
      <c r="AF79" s="575"/>
      <c r="AG79" s="575"/>
      <c r="AH79" s="575"/>
      <c r="AI79" s="1650">
        <v>11</v>
      </c>
    </row>
    <row s="1650" customFormat="1" customHeight="1" ht="11.549999999999999">
      <c r="A80" s="996"/>
      <c r="B80" s="1645"/>
      <c r="C80" s="1645"/>
      <c r="D80" s="360"/>
      <c r="J80" s="1650"/>
      <c r="K80" s="1650"/>
      <c r="L80" s="1650"/>
      <c r="N80" s="1169"/>
      <c r="O80" s="1645"/>
      <c r="P80" s="1645"/>
      <c r="Q80" s="1169"/>
      <c r="R80" s="1169"/>
      <c r="S80" s="1169"/>
      <c r="T80" s="1169"/>
      <c r="U80" s="1645"/>
      <c r="V80" s="1169"/>
      <c r="W80" s="1169"/>
      <c r="X80" s="553"/>
      <c r="Y80" s="1169"/>
      <c r="Z80" s="1169"/>
      <c r="AA80" s="1169"/>
      <c r="AB80" s="1169"/>
      <c r="AC80" s="1169"/>
      <c r="AD80" s="1641"/>
      <c r="AE80" s="575"/>
      <c r="AF80" s="575"/>
      <c r="AG80" s="575"/>
      <c r="AH80" s="575"/>
      <c r="AI80" s="1650">
        <v>11</v>
      </c>
    </row>
    <row s="1650" customFormat="1" customHeight="1" ht="11.549999999999999">
      <c r="A81" s="996"/>
      <c r="B81" s="1645"/>
      <c r="C81" s="1645"/>
      <c r="D81" s="360"/>
      <c r="J81" s="1650"/>
      <c r="K81" s="1650"/>
      <c r="L81" s="1650"/>
      <c r="N81" s="1169"/>
      <c r="O81" s="1645"/>
      <c r="P81" s="1645"/>
      <c r="Q81" s="1169"/>
      <c r="R81" s="1169"/>
      <c r="S81" s="1169"/>
      <c r="T81" s="1169"/>
      <c r="U81" s="1645"/>
      <c r="V81" s="1169"/>
      <c r="W81" s="1169"/>
      <c r="X81" s="553"/>
      <c r="Y81" s="1169"/>
      <c r="Z81" s="1169"/>
      <c r="AA81" s="1169"/>
      <c r="AB81" s="1169"/>
      <c r="AC81" s="1169"/>
      <c r="AD81" s="1641"/>
      <c r="AE81" s="575"/>
      <c r="AF81" s="575"/>
      <c r="AG81" s="575"/>
      <c r="AH81" s="575"/>
      <c r="AI81" s="1650">
        <v>11</v>
      </c>
    </row>
    <row s="1650" customFormat="1" customHeight="1" ht="11.549999999999999">
      <c r="A82" s="996"/>
      <c r="B82" s="1645"/>
      <c r="C82" s="1645"/>
      <c r="D82" s="360"/>
      <c r="J82" s="1650"/>
      <c r="K82" s="1650"/>
      <c r="L82" s="1650"/>
      <c r="N82" s="1169"/>
      <c r="O82" s="1645"/>
      <c r="P82" s="1645"/>
      <c r="Q82" s="1169"/>
      <c r="R82" s="1169"/>
      <c r="S82" s="1169"/>
      <c r="T82" s="1169"/>
      <c r="U82" s="1645"/>
      <c r="V82" s="1169"/>
      <c r="W82" s="1169"/>
      <c r="X82" s="553"/>
      <c r="Y82" s="1169"/>
      <c r="Z82" s="1169"/>
      <c r="AA82" s="1169"/>
      <c r="AB82" s="1169"/>
      <c r="AC82" s="1169"/>
      <c r="AD82" s="1641"/>
      <c r="AE82" s="575"/>
      <c r="AF82" s="575"/>
      <c r="AG82" s="575"/>
      <c r="AH82" s="575"/>
      <c r="AI82" s="1650">
        <v>11</v>
      </c>
    </row>
    <row s="1650" customFormat="1" customHeight="1" ht="11.549999999999999">
      <c r="A83" s="996"/>
      <c r="B83" s="1645"/>
      <c r="C83" s="1645"/>
      <c r="D83" s="360"/>
      <c r="J83" s="1650"/>
      <c r="K83" s="1650"/>
      <c r="L83" s="1650"/>
      <c r="N83" s="1169"/>
      <c r="O83" s="1645"/>
      <c r="P83" s="1645"/>
      <c r="Q83" s="1169"/>
      <c r="R83" s="1169"/>
      <c r="S83" s="1169"/>
      <c r="T83" s="1169"/>
      <c r="U83" s="1645"/>
      <c r="V83" s="1169"/>
      <c r="W83" s="1169"/>
      <c r="X83" s="553"/>
      <c r="Y83" s="1169"/>
      <c r="Z83" s="1169"/>
      <c r="AA83" s="1169"/>
      <c r="AB83" s="1169"/>
      <c r="AC83" s="1169"/>
      <c r="AD83" s="1641"/>
      <c r="AE83" s="575"/>
      <c r="AF83" s="575"/>
      <c r="AG83" s="575"/>
      <c r="AH83" s="575"/>
      <c r="AI83" s="1650">
        <v>11</v>
      </c>
    </row>
    <row s="1650" customFormat="1" customHeight="1" ht="11.549999999999999">
      <c r="A84" s="996"/>
      <c r="B84" s="1645"/>
      <c r="C84" s="1645"/>
      <c r="D84" s="360"/>
      <c r="J84" s="1650"/>
      <c r="K84" s="1650"/>
      <c r="L84" s="1650"/>
      <c r="N84" s="1169"/>
      <c r="O84" s="1645"/>
      <c r="P84" s="1645"/>
      <c r="Q84" s="1169"/>
      <c r="R84" s="1169"/>
      <c r="S84" s="1169"/>
      <c r="T84" s="1169"/>
      <c r="U84" s="1645"/>
      <c r="V84" s="1169"/>
      <c r="W84" s="1169"/>
      <c r="X84" s="553"/>
      <c r="Y84" s="1169"/>
      <c r="Z84" s="1169"/>
      <c r="AA84" s="1169"/>
      <c r="AB84" s="1169"/>
      <c r="AC84" s="1169"/>
      <c r="AD84" s="1641"/>
      <c r="AE84" s="575"/>
      <c r="AF84" s="575"/>
      <c r="AG84" s="575"/>
      <c r="AH84" s="575"/>
      <c r="AI84" s="1650">
        <v>11</v>
      </c>
    </row>
    <row s="1650" customFormat="1" customHeight="1" ht="11.549999999999999">
      <c r="A85" s="996"/>
      <c r="B85" s="1645"/>
      <c r="C85" s="1645"/>
      <c r="D85" s="360"/>
      <c r="J85" s="1650"/>
      <c r="K85" s="1650"/>
      <c r="L85" s="1650"/>
      <c r="N85" s="1169"/>
      <c r="O85" s="1645"/>
      <c r="P85" s="1645"/>
      <c r="Q85" s="1169"/>
      <c r="R85" s="1169"/>
      <c r="S85" s="1169"/>
      <c r="T85" s="1169"/>
      <c r="U85" s="1645"/>
      <c r="V85" s="1169"/>
      <c r="W85" s="1169"/>
      <c r="X85" s="553"/>
      <c r="Y85" s="1169"/>
      <c r="Z85" s="1169"/>
      <c r="AA85" s="1169"/>
      <c r="AB85" s="1169"/>
      <c r="AC85" s="1169"/>
      <c r="AD85" s="1641"/>
      <c r="AE85" s="575"/>
      <c r="AF85" s="575"/>
      <c r="AG85" s="575"/>
      <c r="AH85" s="575"/>
      <c r="AI85" s="1650">
        <v>11</v>
      </c>
    </row>
    <row s="1650" customFormat="1" customHeight="1" ht="11.549999999999999">
      <c r="A86" s="996"/>
      <c r="B86" s="1645"/>
      <c r="C86" s="1645"/>
      <c r="D86" s="360"/>
      <c r="J86" s="1650"/>
      <c r="K86" s="1650"/>
      <c r="L86" s="1650"/>
      <c r="N86" s="1169"/>
      <c r="O86" s="1645"/>
      <c r="P86" s="1645"/>
      <c r="Q86" s="1169"/>
      <c r="R86" s="1169"/>
      <c r="S86" s="1169"/>
      <c r="T86" s="1169"/>
      <c r="U86" s="1645"/>
      <c r="V86" s="1169"/>
      <c r="W86" s="1169"/>
      <c r="X86" s="553"/>
      <c r="Y86" s="1169"/>
      <c r="Z86" s="1169"/>
      <c r="AA86" s="1169"/>
      <c r="AB86" s="1169"/>
      <c r="AC86" s="1169"/>
      <c r="AD86" s="1641"/>
      <c r="AE86" s="575"/>
      <c r="AF86" s="575"/>
      <c r="AG86" s="575"/>
      <c r="AH86" s="575"/>
      <c r="AI86" s="1650">
        <v>11</v>
      </c>
    </row>
    <row s="1650" customFormat="1" customHeight="1" ht="11.549999999999999">
      <c r="A87" s="996"/>
      <c r="B87" s="1645"/>
      <c r="C87" s="1645"/>
      <c r="D87" s="360"/>
      <c r="J87" s="1650"/>
      <c r="K87" s="1650"/>
      <c r="L87" s="1650"/>
      <c r="N87" s="1169"/>
      <c r="O87" s="1645"/>
      <c r="P87" s="1645"/>
      <c r="Q87" s="1169"/>
      <c r="R87" s="1169"/>
      <c r="S87" s="1169"/>
      <c r="T87" s="1169"/>
      <c r="U87" s="1645"/>
      <c r="V87" s="1169"/>
      <c r="W87" s="1169"/>
      <c r="X87" s="553"/>
      <c r="Y87" s="1169"/>
      <c r="Z87" s="1169"/>
      <c r="AA87" s="1169"/>
      <c r="AB87" s="1169"/>
      <c r="AC87" s="1169"/>
      <c r="AD87" s="1641"/>
      <c r="AE87" s="575"/>
      <c r="AF87" s="575"/>
      <c r="AG87" s="575"/>
      <c r="AH87" s="575"/>
      <c r="AI87" s="1650">
        <v>11</v>
      </c>
    </row>
    <row s="1650" customFormat="1" customHeight="1" ht="11.549999999999999">
      <c r="A88" s="996"/>
      <c r="B88" s="1645"/>
      <c r="C88" s="1645"/>
      <c r="D88" s="360"/>
      <c r="J88" s="1650"/>
      <c r="K88" s="1650"/>
      <c r="L88" s="1650"/>
      <c r="N88" s="1169"/>
      <c r="O88" s="1645"/>
      <c r="P88" s="1645"/>
      <c r="Q88" s="1169"/>
      <c r="R88" s="1169"/>
      <c r="S88" s="1169"/>
      <c r="T88" s="1169"/>
      <c r="U88" s="1645"/>
      <c r="V88" s="1169"/>
      <c r="W88" s="1169"/>
      <c r="X88" s="553"/>
      <c r="Y88" s="1169"/>
      <c r="Z88" s="1169"/>
      <c r="AA88" s="1169"/>
      <c r="AB88" s="1169"/>
      <c r="AC88" s="1169"/>
      <c r="AD88" s="1641"/>
      <c r="AE88" s="575"/>
      <c r="AF88" s="575"/>
      <c r="AG88" s="575"/>
      <c r="AH88" s="575"/>
      <c r="AI88" s="1650">
        <v>11</v>
      </c>
    </row>
    <row s="1650" customFormat="1" customHeight="1" ht="11.549999999999999">
      <c r="A89" s="996"/>
      <c r="B89" s="1645"/>
      <c r="C89" s="1645"/>
      <c r="D89" s="360"/>
      <c r="J89" s="1650"/>
      <c r="K89" s="1650"/>
      <c r="L89" s="1650"/>
      <c r="N89" s="1169"/>
      <c r="O89" s="1645"/>
      <c r="P89" s="1645"/>
      <c r="Q89" s="1169"/>
      <c r="R89" s="1169"/>
      <c r="S89" s="1169"/>
      <c r="T89" s="1169"/>
      <c r="U89" s="1645"/>
      <c r="V89" s="1169"/>
      <c r="W89" s="1169"/>
      <c r="X89" s="553"/>
      <c r="Y89" s="1169"/>
      <c r="Z89" s="1169"/>
      <c r="AA89" s="1169"/>
      <c r="AB89" s="1169"/>
      <c r="AC89" s="1169"/>
      <c r="AD89" s="1641"/>
      <c r="AE89" s="575"/>
      <c r="AF89" s="575"/>
      <c r="AG89" s="575"/>
      <c r="AH89" s="575"/>
      <c r="AI89" s="1650">
        <v>11</v>
      </c>
    </row>
    <row s="1650" customFormat="1" customHeight="1" ht="11.549999999999999">
      <c r="A90" s="996"/>
      <c r="B90" s="1645"/>
      <c r="C90" s="1645"/>
      <c r="D90" s="360"/>
      <c r="J90" s="1650"/>
      <c r="K90" s="1650"/>
      <c r="L90" s="1650"/>
      <c r="N90" s="1169"/>
      <c r="O90" s="1645"/>
      <c r="P90" s="1645"/>
      <c r="Q90" s="1169"/>
      <c r="R90" s="1169"/>
      <c r="S90" s="1169"/>
      <c r="T90" s="1169"/>
      <c r="U90" s="1645"/>
      <c r="V90" s="1169"/>
      <c r="W90" s="1169"/>
      <c r="X90" s="553"/>
      <c r="Y90" s="1169"/>
      <c r="Z90" s="1169"/>
      <c r="AA90" s="1169"/>
      <c r="AB90" s="1169"/>
      <c r="AC90" s="1169"/>
      <c r="AD90" s="1641"/>
      <c r="AE90" s="575"/>
      <c r="AF90" s="575"/>
      <c r="AG90" s="575"/>
      <c r="AH90" s="575"/>
      <c r="AI90" s="1650">
        <v>11</v>
      </c>
    </row>
    <row s="1650" customFormat="1" customHeight="1" ht="11.549999999999999">
      <c r="A91" s="996"/>
      <c r="B91" s="1645"/>
      <c r="C91" s="1645"/>
      <c r="D91" s="360"/>
      <c r="J91" s="1650"/>
      <c r="K91" s="1650"/>
      <c r="L91" s="1650"/>
      <c r="N91" s="1169"/>
      <c r="O91" s="1645"/>
      <c r="P91" s="1645"/>
      <c r="Q91" s="1169"/>
      <c r="R91" s="1169"/>
      <c r="S91" s="1169"/>
      <c r="T91" s="1169"/>
      <c r="U91" s="1645"/>
      <c r="V91" s="1169"/>
      <c r="W91" s="1169"/>
      <c r="X91" s="553"/>
      <c r="Y91" s="1169"/>
      <c r="Z91" s="1169"/>
      <c r="AA91" s="1169"/>
      <c r="AB91" s="1169"/>
      <c r="AC91" s="1169"/>
      <c r="AD91" s="1641"/>
      <c r="AE91" s="575"/>
      <c r="AF91" s="575"/>
      <c r="AG91" s="575"/>
      <c r="AH91" s="575"/>
      <c r="AI91" s="1650">
        <v>11</v>
      </c>
    </row>
    <row s="1650" customFormat="1" customHeight="1" ht="11.549999999999999">
      <c r="A92" s="996"/>
      <c r="B92" s="1645"/>
      <c r="C92" s="1645"/>
      <c r="D92" s="360"/>
      <c r="J92" s="1650"/>
      <c r="K92" s="1650"/>
      <c r="L92" s="1650"/>
      <c r="N92" s="1169"/>
      <c r="O92" s="1645"/>
      <c r="P92" s="1645"/>
      <c r="Q92" s="1169"/>
      <c r="R92" s="1169"/>
      <c r="S92" s="1169"/>
      <c r="T92" s="1169"/>
      <c r="U92" s="1645"/>
      <c r="V92" s="1169"/>
      <c r="W92" s="1169"/>
      <c r="X92" s="553"/>
      <c r="Y92" s="1169"/>
      <c r="Z92" s="1169"/>
      <c r="AA92" s="1169"/>
      <c r="AB92" s="1169"/>
      <c r="AC92" s="1169"/>
      <c r="AD92" s="1641"/>
      <c r="AE92" s="575"/>
      <c r="AF92" s="575"/>
      <c r="AG92" s="575"/>
      <c r="AH92" s="575"/>
      <c r="AI92" s="1650">
        <v>11</v>
      </c>
    </row>
    <row s="1650" customFormat="1" customHeight="1" ht="11.549999999999999">
      <c r="A93" s="996"/>
      <c r="B93" s="1645"/>
      <c r="C93" s="1645"/>
      <c r="D93" s="360"/>
      <c r="J93" s="1650"/>
      <c r="K93" s="1650"/>
      <c r="L93" s="1650"/>
      <c r="N93" s="1169"/>
      <c r="O93" s="1645"/>
      <c r="P93" s="1645"/>
      <c r="Q93" s="1169"/>
      <c r="R93" s="1169"/>
      <c r="S93" s="1169"/>
      <c r="T93" s="1169"/>
      <c r="U93" s="1645"/>
      <c r="V93" s="1169"/>
      <c r="W93" s="1169"/>
      <c r="X93" s="553"/>
      <c r="Y93" s="1169"/>
      <c r="Z93" s="1169"/>
      <c r="AA93" s="1169"/>
      <c r="AB93" s="1169"/>
      <c r="AC93" s="1169"/>
      <c r="AD93" s="1641"/>
      <c r="AE93" s="575"/>
      <c r="AF93" s="575"/>
      <c r="AG93" s="575"/>
      <c r="AH93" s="575"/>
      <c r="AI93" s="1650">
        <v>11</v>
      </c>
    </row>
    <row s="1650" customFormat="1" customHeight="1" ht="11.549999999999999">
      <c r="A94" s="996"/>
      <c r="B94" s="1645"/>
      <c r="C94" s="1645"/>
      <c r="D94" s="360"/>
      <c r="J94" s="1650"/>
      <c r="K94" s="1650"/>
      <c r="L94" s="1650"/>
      <c r="N94" s="1169"/>
      <c r="O94" s="1645"/>
      <c r="P94" s="1645"/>
      <c r="Q94" s="1169"/>
      <c r="R94" s="1169"/>
      <c r="S94" s="1169"/>
      <c r="T94" s="1169"/>
      <c r="U94" s="1645"/>
      <c r="V94" s="1169"/>
      <c r="W94" s="1169"/>
      <c r="X94" s="553"/>
      <c r="Y94" s="1169"/>
      <c r="Z94" s="1169"/>
      <c r="AA94" s="1169"/>
      <c r="AB94" s="1169"/>
      <c r="AC94" s="1169"/>
      <c r="AD94" s="1641"/>
      <c r="AE94" s="575"/>
      <c r="AF94" s="575"/>
      <c r="AG94" s="575"/>
      <c r="AH94" s="575"/>
      <c r="AI94" s="1650">
        <v>11</v>
      </c>
    </row>
    <row s="1650" customFormat="1" customHeight="1" ht="11.549999999999999">
      <c r="A95" s="996"/>
      <c r="B95" s="1645"/>
      <c r="C95" s="1645"/>
      <c r="D95" s="360"/>
      <c r="J95" s="1650"/>
      <c r="K95" s="1650"/>
      <c r="L95" s="1650"/>
      <c r="N95" s="1169"/>
      <c r="O95" s="1645"/>
      <c r="P95" s="1645"/>
      <c r="Q95" s="1169"/>
      <c r="R95" s="1169"/>
      <c r="S95" s="1169"/>
      <c r="T95" s="1169"/>
      <c r="U95" s="1645"/>
      <c r="V95" s="1169"/>
      <c r="W95" s="1169"/>
      <c r="X95" s="553"/>
      <c r="Y95" s="1169"/>
      <c r="Z95" s="1169"/>
      <c r="AA95" s="1169"/>
      <c r="AB95" s="1169"/>
      <c r="AC95" s="1169"/>
      <c r="AD95" s="1641"/>
      <c r="AE95" s="575"/>
      <c r="AF95" s="575"/>
      <c r="AG95" s="575"/>
      <c r="AH95" s="575"/>
      <c r="AI95" s="1650">
        <v>11</v>
      </c>
    </row>
    <row s="1650" customFormat="1" customHeight="1" ht="11.549999999999999">
      <c r="A96" s="996"/>
      <c r="B96" s="1645"/>
      <c r="C96" s="1645"/>
      <c r="D96" s="360"/>
      <c r="J96" s="1650"/>
      <c r="K96" s="1650"/>
      <c r="L96" s="1650"/>
      <c r="N96" s="1169"/>
      <c r="O96" s="1645"/>
      <c r="P96" s="1645"/>
      <c r="Q96" s="1169"/>
      <c r="R96" s="1169"/>
      <c r="S96" s="1169"/>
      <c r="T96" s="1169"/>
      <c r="U96" s="1645"/>
      <c r="V96" s="1169"/>
      <c r="W96" s="1169"/>
      <c r="X96" s="553"/>
      <c r="Y96" s="1169"/>
      <c r="Z96" s="1169"/>
      <c r="AA96" s="1169"/>
      <c r="AB96" s="1169"/>
      <c r="AC96" s="1169"/>
      <c r="AD96" s="1641"/>
      <c r="AE96" s="575"/>
      <c r="AF96" s="575"/>
      <c r="AG96" s="575"/>
      <c r="AH96" s="575"/>
      <c r="AI96" s="1650">
        <v>11</v>
      </c>
    </row>
    <row s="1650" customFormat="1" customHeight="1" ht="11.549999999999999">
      <c r="A97" s="996"/>
      <c r="B97" s="1645"/>
      <c r="C97" s="1645"/>
      <c r="D97" s="360"/>
      <c r="J97" s="1650"/>
      <c r="K97" s="1650"/>
      <c r="L97" s="1650"/>
      <c r="N97" s="1169"/>
      <c r="O97" s="1645"/>
      <c r="P97" s="1645"/>
      <c r="Q97" s="1169"/>
      <c r="R97" s="1169"/>
      <c r="S97" s="1169"/>
      <c r="T97" s="1169"/>
      <c r="U97" s="1645"/>
      <c r="V97" s="1169"/>
      <c r="W97" s="1169"/>
      <c r="X97" s="553"/>
      <c r="Y97" s="1169"/>
      <c r="Z97" s="1169"/>
      <c r="AA97" s="1169"/>
      <c r="AB97" s="1169"/>
      <c r="AC97" s="1169"/>
      <c r="AD97" s="1641"/>
      <c r="AE97" s="575"/>
      <c r="AF97" s="575"/>
      <c r="AG97" s="575"/>
      <c r="AH97" s="575"/>
      <c r="AI97" s="1650">
        <v>11</v>
      </c>
    </row>
    <row s="1650" customFormat="1" customHeight="1" ht="11.549999999999999">
      <c r="A98" s="996"/>
      <c r="B98" s="1645"/>
      <c r="C98" s="1645"/>
      <c r="D98" s="360"/>
      <c r="J98" s="1650"/>
      <c r="K98" s="1650"/>
      <c r="L98" s="1650"/>
      <c r="N98" s="1169"/>
      <c r="O98" s="1645"/>
      <c r="P98" s="1645"/>
      <c r="Q98" s="1169"/>
      <c r="R98" s="1169"/>
      <c r="S98" s="1169"/>
      <c r="T98" s="1169"/>
      <c r="U98" s="1645"/>
      <c r="V98" s="1169"/>
      <c r="W98" s="1169"/>
      <c r="X98" s="553"/>
      <c r="Y98" s="1169"/>
      <c r="Z98" s="1169"/>
      <c r="AA98" s="1169"/>
      <c r="AB98" s="1169"/>
      <c r="AC98" s="1169"/>
      <c r="AD98" s="1641"/>
      <c r="AE98" s="575"/>
      <c r="AF98" s="575"/>
      <c r="AG98" s="575"/>
      <c r="AH98" s="575"/>
      <c r="AI98" s="1650">
        <v>11</v>
      </c>
    </row>
    <row s="1650" customFormat="1" customHeight="1" ht="11.549999999999999">
      <c r="A99" s="996"/>
      <c r="B99" s="1645"/>
      <c r="C99" s="1645"/>
      <c r="D99" s="360"/>
      <c r="J99" s="1650"/>
      <c r="K99" s="1650"/>
      <c r="L99" s="1650"/>
      <c r="N99" s="1169"/>
      <c r="O99" s="1645"/>
      <c r="P99" s="1645"/>
      <c r="Q99" s="1169"/>
      <c r="R99" s="1169"/>
      <c r="S99" s="1169"/>
      <c r="T99" s="1169"/>
      <c r="U99" s="1645"/>
      <c r="V99" s="1169"/>
      <c r="W99" s="1169"/>
      <c r="X99" s="553"/>
      <c r="Y99" s="1169"/>
      <c r="Z99" s="1169"/>
      <c r="AA99" s="1169"/>
      <c r="AB99" s="1169"/>
      <c r="AC99" s="1169"/>
      <c r="AD99" s="1641"/>
      <c r="AE99" s="575"/>
      <c r="AF99" s="575"/>
      <c r="AG99" s="575"/>
      <c r="AH99" s="575"/>
      <c r="AI99" s="1650">
        <v>11</v>
      </c>
    </row>
    <row s="1650" customFormat="1" customHeight="1" ht="11.549999999999999">
      <c r="A100" s="996"/>
      <c r="B100" s="1645"/>
      <c r="C100" s="1645"/>
      <c r="D100" s="360"/>
      <c r="J100" s="1650"/>
      <c r="K100" s="1650"/>
      <c r="L100" s="1650"/>
      <c r="N100" s="1169"/>
      <c r="O100" s="1645"/>
      <c r="P100" s="1645"/>
      <c r="Q100" s="1169"/>
      <c r="R100" s="1169"/>
      <c r="S100" s="1169"/>
      <c r="T100" s="1169"/>
      <c r="U100" s="1645"/>
      <c r="V100" s="1169"/>
      <c r="W100" s="1169"/>
      <c r="X100" s="553"/>
      <c r="Y100" s="1169"/>
      <c r="Z100" s="1169"/>
      <c r="AA100" s="1169"/>
      <c r="AB100" s="1169"/>
      <c r="AC100" s="1169"/>
      <c r="AD100" s="1641"/>
      <c r="AE100" s="575"/>
      <c r="AF100" s="575"/>
      <c r="AG100" s="575"/>
      <c r="AH100" s="575"/>
      <c r="AI100" s="1650">
        <v>11</v>
      </c>
    </row>
    <row s="1650" customFormat="1" customHeight="1" ht="11.549999999999999">
      <c r="A101" s="996"/>
      <c r="B101" s="1645"/>
      <c r="C101" s="1645"/>
      <c r="D101" s="360"/>
      <c r="J101" s="1650"/>
      <c r="K101" s="1650"/>
      <c r="L101" s="1650"/>
      <c r="N101" s="1169"/>
      <c r="O101" s="1645"/>
      <c r="P101" s="1645"/>
      <c r="Q101" s="1169"/>
      <c r="R101" s="1169"/>
      <c r="S101" s="1169"/>
      <c r="T101" s="1169"/>
      <c r="U101" s="1645"/>
      <c r="V101" s="1169"/>
      <c r="W101" s="1169"/>
      <c r="X101" s="553"/>
      <c r="Y101" s="1169"/>
      <c r="Z101" s="1169"/>
      <c r="AA101" s="1169"/>
      <c r="AB101" s="1169"/>
      <c r="AC101" s="1169"/>
      <c r="AD101" s="1641"/>
      <c r="AE101" s="575"/>
      <c r="AF101" s="575"/>
      <c r="AG101" s="575"/>
      <c r="AH101" s="575"/>
      <c r="AI101" s="1650">
        <v>11</v>
      </c>
    </row>
    <row s="1650" customFormat="1" customHeight="1" ht="11.549999999999999">
      <c r="A102" s="996"/>
      <c r="B102" s="1645"/>
      <c r="C102" s="1645"/>
      <c r="D102" s="360"/>
      <c r="J102" s="1650"/>
      <c r="K102" s="1650"/>
      <c r="L102" s="1650"/>
      <c r="N102" s="1169"/>
      <c r="O102" s="1645"/>
      <c r="P102" s="1645"/>
      <c r="Q102" s="1169"/>
      <c r="R102" s="1169"/>
      <c r="S102" s="1169"/>
      <c r="T102" s="1169"/>
      <c r="U102" s="1645"/>
      <c r="V102" s="1169"/>
      <c r="W102" s="1169"/>
      <c r="X102" s="553"/>
      <c r="Y102" s="1169"/>
      <c r="Z102" s="1169"/>
      <c r="AA102" s="1169"/>
      <c r="AB102" s="1169"/>
      <c r="AC102" s="1169"/>
      <c r="AD102" s="1641"/>
      <c r="AE102" s="575"/>
      <c r="AF102" s="575"/>
      <c r="AG102" s="575"/>
      <c r="AH102" s="575"/>
      <c r="AI102" s="1650">
        <v>11</v>
      </c>
    </row>
    <row s="1650" customFormat="1" customHeight="1" ht="11.549999999999999">
      <c r="A103" s="996"/>
      <c r="B103" s="1645"/>
      <c r="C103" s="1645"/>
      <c r="D103" s="360"/>
      <c r="J103" s="1650"/>
      <c r="K103" s="1650"/>
      <c r="L103" s="1650"/>
      <c r="N103" s="1169"/>
      <c r="O103" s="1645"/>
      <c r="P103" s="1645"/>
      <c r="Q103" s="1169"/>
      <c r="R103" s="1169"/>
      <c r="S103" s="1169"/>
      <c r="T103" s="1169"/>
      <c r="U103" s="1645"/>
      <c r="V103" s="1169"/>
      <c r="W103" s="1169"/>
      <c r="X103" s="553"/>
      <c r="Y103" s="1169"/>
      <c r="Z103" s="1169"/>
      <c r="AA103" s="1169"/>
      <c r="AB103" s="1169"/>
      <c r="AC103" s="1169"/>
      <c r="AD103" s="1641"/>
      <c r="AE103" s="575"/>
      <c r="AF103" s="575"/>
      <c r="AG103" s="575"/>
      <c r="AH103" s="575"/>
      <c r="AI103" s="1650">
        <v>11</v>
      </c>
    </row>
    <row s="1650" customFormat="1" customHeight="1" ht="11.549999999999999">
      <c r="A104" s="996"/>
      <c r="B104" s="1645"/>
      <c r="C104" s="1645"/>
      <c r="D104" s="360"/>
      <c r="J104" s="1650"/>
      <c r="K104" s="1650"/>
      <c r="L104" s="1650"/>
      <c r="N104" s="1169"/>
      <c r="O104" s="1645"/>
      <c r="P104" s="1645"/>
      <c r="Q104" s="1169"/>
      <c r="R104" s="1169"/>
      <c r="S104" s="1169"/>
      <c r="T104" s="1169"/>
      <c r="U104" s="1645"/>
      <c r="V104" s="1169"/>
      <c r="W104" s="1169"/>
      <c r="X104" s="553"/>
      <c r="Y104" s="1169"/>
      <c r="Z104" s="1169"/>
      <c r="AA104" s="1169"/>
      <c r="AB104" s="1169"/>
      <c r="AC104" s="1169"/>
      <c r="AD104" s="1641"/>
      <c r="AE104" s="575"/>
      <c r="AF104" s="575"/>
      <c r="AG104" s="575"/>
      <c r="AH104" s="575"/>
      <c r="AI104" s="1650">
        <v>11</v>
      </c>
    </row>
    <row s="1650" customFormat="1" customHeight="1" ht="11.549999999999999">
      <c r="A105" s="996"/>
      <c r="B105" s="1645"/>
      <c r="C105" s="1645"/>
      <c r="D105" s="360"/>
      <c r="J105" s="1650"/>
      <c r="K105" s="1650"/>
      <c r="L105" s="1650"/>
      <c r="N105" s="1169"/>
      <c r="O105" s="1645"/>
      <c r="P105" s="1645"/>
      <c r="Q105" s="1169"/>
      <c r="R105" s="1169"/>
      <c r="S105" s="1169"/>
      <c r="T105" s="1169"/>
      <c r="U105" s="1645"/>
      <c r="V105" s="1169"/>
      <c r="W105" s="1169"/>
      <c r="X105" s="553"/>
      <c r="Y105" s="1169"/>
      <c r="Z105" s="1169"/>
      <c r="AA105" s="1169"/>
      <c r="AB105" s="1169"/>
      <c r="AC105" s="1169"/>
      <c r="AD105" s="1641"/>
      <c r="AE105" s="575"/>
      <c r="AF105" s="575"/>
      <c r="AG105" s="575"/>
      <c r="AH105" s="575"/>
      <c r="AI105" s="1650">
        <v>11</v>
      </c>
    </row>
    <row s="1650" customFormat="1" customHeight="1" ht="11.549999999999999">
      <c r="A106" s="996"/>
      <c r="B106" s="1645"/>
      <c r="C106" s="1645"/>
      <c r="D106" s="360"/>
      <c r="J106" s="1650"/>
      <c r="K106" s="1650"/>
      <c r="L106" s="1650"/>
      <c r="N106" s="1169"/>
      <c r="O106" s="1645"/>
      <c r="P106" s="1645"/>
      <c r="Q106" s="1169"/>
      <c r="R106" s="1169"/>
      <c r="S106" s="1169"/>
      <c r="T106" s="1169"/>
      <c r="U106" s="1645"/>
      <c r="V106" s="1169"/>
      <c r="W106" s="1169"/>
      <c r="X106" s="553"/>
      <c r="Y106" s="1169"/>
      <c r="Z106" s="1169"/>
      <c r="AA106" s="1169"/>
      <c r="AB106" s="1169"/>
      <c r="AC106" s="1169"/>
      <c r="AD106" s="1641"/>
      <c r="AE106" s="575"/>
      <c r="AF106" s="575"/>
      <c r="AG106" s="575"/>
      <c r="AH106" s="575"/>
      <c r="AI106" s="1650">
        <v>11</v>
      </c>
    </row>
    <row s="1650" customFormat="1" customHeight="1" ht="11.549999999999999">
      <c r="A107" s="996"/>
      <c r="B107" s="1645"/>
      <c r="C107" s="1645"/>
      <c r="D107" s="360"/>
      <c r="J107" s="1650"/>
      <c r="K107" s="1650"/>
      <c r="L107" s="1650"/>
      <c r="N107" s="1169"/>
      <c r="O107" s="1645"/>
      <c r="P107" s="1645"/>
      <c r="Q107" s="1169"/>
      <c r="R107" s="1169"/>
      <c r="S107" s="1169"/>
      <c r="T107" s="1169"/>
      <c r="U107" s="1645"/>
      <c r="V107" s="1169"/>
      <c r="W107" s="1169"/>
      <c r="X107" s="553"/>
      <c r="Y107" s="1169"/>
      <c r="Z107" s="1169"/>
      <c r="AA107" s="1169"/>
      <c r="AB107" s="1169"/>
      <c r="AC107" s="1169"/>
      <c r="AD107" s="1641"/>
      <c r="AE107" s="575"/>
      <c r="AF107" s="575"/>
      <c r="AG107" s="575"/>
      <c r="AH107" s="575"/>
      <c r="AI107" s="1650">
        <v>11</v>
      </c>
    </row>
    <row s="1650" customFormat="1" customHeight="1" ht="11.549999999999999">
      <c r="A108" s="996"/>
      <c r="B108" s="1645"/>
      <c r="C108" s="1645"/>
      <c r="D108" s="360"/>
      <c r="J108" s="1650"/>
      <c r="K108" s="1650"/>
      <c r="L108" s="1650"/>
      <c r="N108" s="1169"/>
      <c r="O108" s="1645"/>
      <c r="P108" s="1645"/>
      <c r="Q108" s="1169"/>
      <c r="R108" s="1169"/>
      <c r="S108" s="1169"/>
      <c r="T108" s="1169"/>
      <c r="U108" s="1645"/>
      <c r="V108" s="1169"/>
      <c r="W108" s="1169"/>
      <c r="X108" s="553"/>
      <c r="Y108" s="1169"/>
      <c r="Z108" s="1169"/>
      <c r="AA108" s="1169"/>
      <c r="AB108" s="1169"/>
      <c r="AC108" s="1169"/>
      <c r="AD108" s="1641"/>
      <c r="AE108" s="575"/>
      <c r="AF108" s="575"/>
      <c r="AG108" s="575"/>
      <c r="AH108" s="575"/>
      <c r="AI108" s="1650">
        <v>11</v>
      </c>
    </row>
    <row s="1650" customFormat="1" customHeight="1" ht="11.549999999999999">
      <c r="A109" s="996"/>
      <c r="B109" s="1645"/>
      <c r="C109" s="1645"/>
      <c r="D109" s="360"/>
      <c r="J109" s="1650"/>
      <c r="K109" s="1650"/>
      <c r="L109" s="1650"/>
      <c r="N109" s="1169"/>
      <c r="O109" s="1645"/>
      <c r="P109" s="1645"/>
      <c r="Q109" s="1169"/>
      <c r="R109" s="1169"/>
      <c r="S109" s="1169"/>
      <c r="T109" s="1169"/>
      <c r="U109" s="1645"/>
      <c r="V109" s="1169"/>
      <c r="W109" s="1169"/>
      <c r="X109" s="553"/>
      <c r="Y109" s="1169"/>
      <c r="Z109" s="1169"/>
      <c r="AA109" s="1169"/>
      <c r="AB109" s="1169"/>
      <c r="AC109" s="1169"/>
      <c r="AD109" s="1641"/>
      <c r="AE109" s="575"/>
      <c r="AF109" s="575"/>
      <c r="AG109" s="575"/>
      <c r="AH109" s="575"/>
      <c r="AI109" s="1650">
        <v>11</v>
      </c>
    </row>
    <row s="1650" customFormat="1" customHeight="1" ht="11.549999999999999">
      <c r="A110" s="996"/>
      <c r="B110" s="1645"/>
      <c r="C110" s="1645"/>
      <c r="D110" s="360"/>
      <c r="J110" s="1650"/>
      <c r="K110" s="1650"/>
      <c r="L110" s="1650"/>
      <c r="N110" s="1169"/>
      <c r="O110" s="1645"/>
      <c r="P110" s="1645"/>
      <c r="Q110" s="1169"/>
      <c r="R110" s="1169"/>
      <c r="S110" s="1169"/>
      <c r="T110" s="1169"/>
      <c r="U110" s="1645"/>
      <c r="V110" s="1169"/>
      <c r="W110" s="1169"/>
      <c r="X110" s="553"/>
      <c r="Y110" s="1169"/>
      <c r="Z110" s="1169"/>
      <c r="AA110" s="1169"/>
      <c r="AB110" s="1169"/>
      <c r="AC110" s="1169"/>
      <c r="AD110" s="1641"/>
      <c r="AE110" s="575"/>
      <c r="AF110" s="575"/>
      <c r="AG110" s="575"/>
      <c r="AH110" s="575"/>
      <c r="AI110" s="1650">
        <v>11</v>
      </c>
    </row>
    <row s="1650" customFormat="1" customHeight="1" ht="11.549999999999999">
      <c r="A111" s="996"/>
      <c r="B111" s="1645"/>
      <c r="C111" s="1645"/>
      <c r="D111" s="360"/>
      <c r="J111" s="1650"/>
      <c r="K111" s="1650"/>
      <c r="L111" s="1650"/>
      <c r="N111" s="1169"/>
      <c r="O111" s="1645"/>
      <c r="P111" s="1645"/>
      <c r="Q111" s="1169"/>
      <c r="R111" s="1169"/>
      <c r="S111" s="1169"/>
      <c r="T111" s="1169"/>
      <c r="U111" s="1645"/>
      <c r="V111" s="1169"/>
      <c r="W111" s="1169"/>
      <c r="X111" s="553"/>
      <c r="Y111" s="1169"/>
      <c r="Z111" s="1169"/>
      <c r="AA111" s="1169"/>
      <c r="AB111" s="1169"/>
      <c r="AC111" s="1169"/>
      <c r="AD111" s="1641"/>
      <c r="AE111" s="575"/>
      <c r="AF111" s="575"/>
      <c r="AG111" s="575"/>
      <c r="AH111" s="575"/>
      <c r="AI111" s="1650">
        <v>11</v>
      </c>
    </row>
    <row s="1650" customFormat="1" customHeight="1" ht="11.549999999999999">
      <c r="A112" s="996"/>
      <c r="B112" s="1645"/>
      <c r="C112" s="1645"/>
      <c r="D112" s="360"/>
      <c r="J112" s="1650"/>
      <c r="K112" s="1650"/>
      <c r="L112" s="1650"/>
      <c r="N112" s="1169"/>
      <c r="O112" s="1645"/>
      <c r="P112" s="1645"/>
      <c r="Q112" s="1169"/>
      <c r="R112" s="1169"/>
      <c r="S112" s="1169"/>
      <c r="T112" s="1169"/>
      <c r="U112" s="1645"/>
      <c r="V112" s="1169"/>
      <c r="W112" s="1169"/>
      <c r="X112" s="553"/>
      <c r="Y112" s="1169"/>
      <c r="Z112" s="1169"/>
      <c r="AA112" s="1169"/>
      <c r="AB112" s="1169"/>
      <c r="AC112" s="1169"/>
      <c r="AD112" s="1641"/>
      <c r="AE112" s="575"/>
      <c r="AF112" s="575"/>
      <c r="AG112" s="575"/>
      <c r="AH112" s="575"/>
      <c r="AI112" s="1650">
        <v>11</v>
      </c>
    </row>
    <row s="1650" customFormat="1" customHeight="1" ht="11.549999999999999">
      <c r="A113" s="996"/>
      <c r="B113" s="1645"/>
      <c r="C113" s="1645"/>
      <c r="D113" s="360"/>
      <c r="J113" s="1650"/>
      <c r="K113" s="1650"/>
      <c r="L113" s="1650"/>
      <c r="N113" s="1169"/>
      <c r="O113" s="1645"/>
      <c r="P113" s="1645"/>
      <c r="Q113" s="1169"/>
      <c r="R113" s="1169"/>
      <c r="S113" s="1169"/>
      <c r="T113" s="1169"/>
      <c r="U113" s="1645"/>
      <c r="V113" s="1169"/>
      <c r="W113" s="1169"/>
      <c r="X113" s="553"/>
      <c r="Y113" s="1169"/>
      <c r="Z113" s="1169"/>
      <c r="AA113" s="1169"/>
      <c r="AB113" s="1169"/>
      <c r="AC113" s="1169"/>
      <c r="AD113" s="1641"/>
      <c r="AE113" s="575"/>
      <c r="AF113" s="575"/>
      <c r="AG113" s="575"/>
      <c r="AH113" s="575"/>
      <c r="AI113" s="1650">
        <v>11</v>
      </c>
    </row>
    <row s="1650" customFormat="1" customHeight="1" ht="11.549999999999999">
      <c r="A114" s="996"/>
      <c r="B114" s="1645"/>
      <c r="C114" s="1645"/>
      <c r="D114" s="360"/>
      <c r="J114" s="1650"/>
      <c r="K114" s="1650"/>
      <c r="L114" s="1650"/>
      <c r="N114" s="1169"/>
      <c r="O114" s="1645"/>
      <c r="P114" s="1645"/>
      <c r="Q114" s="1169"/>
      <c r="R114" s="1169"/>
      <c r="S114" s="1169"/>
      <c r="T114" s="1169"/>
      <c r="U114" s="1645"/>
      <c r="V114" s="1169"/>
      <c r="W114" s="1169"/>
      <c r="X114" s="553"/>
      <c r="Y114" s="1169"/>
      <c r="Z114" s="1169"/>
      <c r="AA114" s="1169"/>
      <c r="AB114" s="1169"/>
      <c r="AC114" s="1169"/>
      <c r="AD114" s="1641"/>
      <c r="AE114" s="575"/>
      <c r="AF114" s="575"/>
      <c r="AG114" s="575"/>
      <c r="AH114" s="575"/>
      <c r="AI114" s="1650">
        <v>11</v>
      </c>
    </row>
    <row s="1650" customFormat="1" customHeight="1" ht="11.549999999999999">
      <c r="A115" s="996"/>
      <c r="B115" s="1645"/>
      <c r="C115" s="1645"/>
      <c r="D115" s="360"/>
      <c r="J115" s="1650"/>
      <c r="K115" s="1650"/>
      <c r="L115" s="1650"/>
      <c r="N115" s="1169"/>
      <c r="O115" s="1645"/>
      <c r="P115" s="1645"/>
      <c r="Q115" s="1169"/>
      <c r="R115" s="1169"/>
      <c r="S115" s="1169"/>
      <c r="T115" s="1169"/>
      <c r="U115" s="1645"/>
      <c r="V115" s="1169"/>
      <c r="W115" s="1169"/>
      <c r="X115" s="553"/>
      <c r="Y115" s="1169"/>
      <c r="Z115" s="1169"/>
      <c r="AA115" s="1169"/>
      <c r="AB115" s="1169"/>
      <c r="AC115" s="1169"/>
      <c r="AD115" s="1641"/>
      <c r="AE115" s="575"/>
      <c r="AF115" s="575"/>
      <c r="AG115" s="575"/>
      <c r="AH115" s="575"/>
      <c r="AI115" s="1650">
        <v>11</v>
      </c>
    </row>
    <row s="1650" customFormat="1" customHeight="1" ht="11.549999999999999">
      <c r="A116" s="996"/>
      <c r="B116" s="1645"/>
      <c r="C116" s="1645"/>
      <c r="D116" s="360"/>
      <c r="J116" s="1650"/>
      <c r="K116" s="1650"/>
      <c r="L116" s="1650"/>
      <c r="N116" s="1169"/>
      <c r="O116" s="1645"/>
      <c r="P116" s="1645"/>
      <c r="Q116" s="1169"/>
      <c r="R116" s="1169"/>
      <c r="S116" s="1169"/>
      <c r="T116" s="1169"/>
      <c r="U116" s="1645"/>
      <c r="V116" s="1169"/>
      <c r="W116" s="1169"/>
      <c r="X116" s="553"/>
      <c r="Y116" s="1169"/>
      <c r="Z116" s="1169"/>
      <c r="AA116" s="1169"/>
      <c r="AB116" s="1169"/>
      <c r="AC116" s="1169"/>
      <c r="AD116" s="1641"/>
      <c r="AE116" s="575"/>
      <c r="AF116" s="575"/>
      <c r="AG116" s="575"/>
      <c r="AH116" s="575"/>
      <c r="AI116" s="1650">
        <v>11</v>
      </c>
    </row>
    <row s="1650" customFormat="1" customHeight="1" ht="11.549999999999999">
      <c r="A117" s="996"/>
      <c r="B117" s="1645"/>
      <c r="C117" s="1645"/>
      <c r="D117" s="360"/>
      <c r="J117" s="1650"/>
      <c r="K117" s="1650"/>
      <c r="L117" s="1650"/>
      <c r="N117" s="1169"/>
      <c r="O117" s="1645"/>
      <c r="P117" s="1645"/>
      <c r="Q117" s="1169"/>
      <c r="R117" s="1169"/>
      <c r="S117" s="1169"/>
      <c r="T117" s="1169"/>
      <c r="U117" s="1645"/>
      <c r="V117" s="1169"/>
      <c r="W117" s="1169"/>
      <c r="X117" s="553"/>
      <c r="Y117" s="1169"/>
      <c r="Z117" s="1169"/>
      <c r="AA117" s="1169"/>
      <c r="AB117" s="1169"/>
      <c r="AC117" s="1169"/>
      <c r="AD117" s="1641"/>
      <c r="AE117" s="575"/>
      <c r="AF117" s="575"/>
      <c r="AG117" s="575"/>
      <c r="AH117" s="575"/>
      <c r="AI117" s="1650">
        <v>11</v>
      </c>
    </row>
    <row s="1650" customFormat="1" customHeight="1" ht="11.549999999999999">
      <c r="A118" s="996"/>
      <c r="B118" s="1645"/>
      <c r="C118" s="1645"/>
      <c r="D118" s="360"/>
      <c r="J118" s="1650"/>
      <c r="K118" s="1650"/>
      <c r="L118" s="1650"/>
      <c r="N118" s="1169"/>
      <c r="O118" s="1645"/>
      <c r="P118" s="1645"/>
      <c r="Q118" s="1169"/>
      <c r="R118" s="1169"/>
      <c r="S118" s="1169"/>
      <c r="T118" s="1169"/>
      <c r="U118" s="1645"/>
      <c r="V118" s="1169"/>
      <c r="W118" s="1169"/>
      <c r="X118" s="553"/>
      <c r="Y118" s="1169"/>
      <c r="Z118" s="1169"/>
      <c r="AA118" s="1169"/>
      <c r="AB118" s="1169"/>
      <c r="AC118" s="1169"/>
      <c r="AD118" s="1641"/>
      <c r="AE118" s="575"/>
      <c r="AF118" s="575"/>
      <c r="AG118" s="575"/>
      <c r="AH118" s="575"/>
      <c r="AI118" s="1650">
        <v>11</v>
      </c>
    </row>
    <row s="1650" customFormat="1" customHeight="1" ht="11.549999999999999">
      <c r="A119" s="996"/>
      <c r="B119" s="1645"/>
      <c r="C119" s="1645"/>
      <c r="D119" s="360"/>
      <c r="J119" s="1650"/>
      <c r="K119" s="1650"/>
      <c r="L119" s="1650"/>
      <c r="N119" s="1169"/>
      <c r="O119" s="1645"/>
      <c r="P119" s="1645"/>
      <c r="Q119" s="1169"/>
      <c r="R119" s="1169"/>
      <c r="S119" s="1169"/>
      <c r="T119" s="1169"/>
      <c r="U119" s="1645"/>
      <c r="V119" s="1169"/>
      <c r="W119" s="1169"/>
      <c r="X119" s="553"/>
      <c r="Y119" s="1169"/>
      <c r="Z119" s="1169"/>
      <c r="AA119" s="1169"/>
      <c r="AB119" s="1169"/>
      <c r="AC119" s="1169"/>
      <c r="AD119" s="1641"/>
      <c r="AE119" s="575"/>
      <c r="AF119" s="575"/>
      <c r="AG119" s="575"/>
      <c r="AH119" s="575"/>
      <c r="AI119" s="1650">
        <v>11</v>
      </c>
    </row>
    <row s="1650" customFormat="1" customHeight="1" ht="11.549999999999999">
      <c r="A120" s="996"/>
      <c r="B120" s="1645"/>
      <c r="C120" s="1645"/>
      <c r="D120" s="360"/>
      <c r="J120" s="1650"/>
      <c r="K120" s="1650"/>
      <c r="L120" s="1650"/>
      <c r="N120" s="1169"/>
      <c r="O120" s="1645"/>
      <c r="P120" s="1645"/>
      <c r="Q120" s="1169"/>
      <c r="R120" s="1169"/>
      <c r="S120" s="1169"/>
      <c r="T120" s="1169"/>
      <c r="U120" s="1645"/>
      <c r="V120" s="1169"/>
      <c r="W120" s="1169"/>
      <c r="X120" s="553"/>
      <c r="Y120" s="1169"/>
      <c r="Z120" s="1169"/>
      <c r="AA120" s="1169"/>
      <c r="AB120" s="1169"/>
      <c r="AC120" s="1169"/>
      <c r="AD120" s="1641"/>
      <c r="AE120" s="575"/>
      <c r="AF120" s="575"/>
      <c r="AG120" s="575"/>
      <c r="AH120" s="575"/>
      <c r="AI120" s="1650">
        <v>11</v>
      </c>
    </row>
    <row s="1650" customFormat="1" customHeight="1" ht="11.549999999999999">
      <c r="A121" s="996"/>
      <c r="B121" s="1645"/>
      <c r="C121" s="1645"/>
      <c r="D121" s="360"/>
      <c r="J121" s="1650"/>
      <c r="K121" s="1650"/>
      <c r="L121" s="1650"/>
      <c r="N121" s="1169"/>
      <c r="O121" s="1645"/>
      <c r="P121" s="1645"/>
      <c r="Q121" s="1169"/>
      <c r="R121" s="1169"/>
      <c r="S121" s="1169"/>
      <c r="T121" s="1169"/>
      <c r="U121" s="1645"/>
      <c r="V121" s="1169"/>
      <c r="W121" s="1169"/>
      <c r="X121" s="553"/>
      <c r="Y121" s="1169"/>
      <c r="Z121" s="1169"/>
      <c r="AA121" s="1169"/>
      <c r="AB121" s="1169"/>
      <c r="AC121" s="1169"/>
      <c r="AD121" s="1641"/>
      <c r="AE121" s="575"/>
      <c r="AF121" s="575"/>
      <c r="AG121" s="575"/>
      <c r="AH121" s="575"/>
      <c r="AI121" s="1650">
        <v>11</v>
      </c>
    </row>
    <row s="1650" customFormat="1" customHeight="1" ht="11.549999999999999">
      <c r="A122" s="996"/>
      <c r="B122" s="1645"/>
      <c r="C122" s="1645"/>
      <c r="D122" s="360"/>
      <c r="J122" s="1650"/>
      <c r="K122" s="1650"/>
      <c r="L122" s="1650"/>
      <c r="N122" s="1169"/>
      <c r="O122" s="1645"/>
      <c r="P122" s="1645"/>
      <c r="Q122" s="1169"/>
      <c r="R122" s="1169"/>
      <c r="S122" s="1169"/>
      <c r="T122" s="1169"/>
      <c r="U122" s="1645"/>
      <c r="V122" s="1169"/>
      <c r="W122" s="1169"/>
      <c r="X122" s="553"/>
      <c r="Y122" s="1169"/>
      <c r="Z122" s="1169"/>
      <c r="AA122" s="1169"/>
      <c r="AB122" s="1169"/>
      <c r="AC122" s="1169"/>
      <c r="AD122" s="1641"/>
      <c r="AE122" s="575"/>
      <c r="AF122" s="575"/>
      <c r="AG122" s="575"/>
      <c r="AH122" s="575"/>
      <c r="AI122" s="1650">
        <v>11</v>
      </c>
    </row>
    <row s="1650" customFormat="1" customHeight="1" ht="11.549999999999999">
      <c r="A123" s="996"/>
      <c r="B123" s="1645"/>
      <c r="C123" s="1645"/>
      <c r="D123" s="360"/>
      <c r="J123" s="1650"/>
      <c r="K123" s="1650"/>
      <c r="L123" s="1650"/>
      <c r="N123" s="1169"/>
      <c r="O123" s="1645"/>
      <c r="P123" s="1645"/>
      <c r="Q123" s="1169"/>
      <c r="R123" s="1169"/>
      <c r="S123" s="1169"/>
      <c r="T123" s="1169"/>
      <c r="U123" s="1645"/>
      <c r="V123" s="1169"/>
      <c r="W123" s="1169"/>
      <c r="X123" s="553"/>
      <c r="Y123" s="1169"/>
      <c r="Z123" s="1169"/>
      <c r="AA123" s="1169"/>
      <c r="AB123" s="1169"/>
      <c r="AC123" s="1169"/>
      <c r="AD123" s="1641"/>
      <c r="AE123" s="575"/>
      <c r="AF123" s="575"/>
      <c r="AG123" s="575"/>
      <c r="AH123" s="575"/>
      <c r="AI123" s="1650">
        <v>11</v>
      </c>
    </row>
    <row s="1650" customFormat="1" customHeight="1" ht="11.549999999999999">
      <c r="A124" s="996"/>
      <c r="B124" s="1645"/>
      <c r="C124" s="1645"/>
      <c r="D124" s="360"/>
      <c r="J124" s="1650"/>
      <c r="K124" s="1650"/>
      <c r="L124" s="1650"/>
      <c r="N124" s="1169"/>
      <c r="O124" s="1645"/>
      <c r="P124" s="1645"/>
      <c r="Q124" s="1169"/>
      <c r="R124" s="1169"/>
      <c r="S124" s="1169"/>
      <c r="T124" s="1169"/>
      <c r="U124" s="1645"/>
      <c r="V124" s="1169"/>
      <c r="W124" s="1169"/>
      <c r="X124" s="553"/>
      <c r="Y124" s="1169"/>
      <c r="Z124" s="1169"/>
      <c r="AA124" s="1169"/>
      <c r="AB124" s="1169"/>
      <c r="AC124" s="1169"/>
      <c r="AD124" s="1641"/>
      <c r="AE124" s="575"/>
      <c r="AF124" s="575"/>
      <c r="AG124" s="575"/>
      <c r="AH124" s="575"/>
      <c r="AI124" s="1650">
        <v>11</v>
      </c>
    </row>
    <row s="1650" customFormat="1" customHeight="1" ht="11.549999999999999">
      <c r="A125" s="996"/>
      <c r="B125" s="1645"/>
      <c r="C125" s="1645"/>
      <c r="D125" s="360"/>
      <c r="J125" s="1650"/>
      <c r="K125" s="1650"/>
      <c r="L125" s="1650"/>
      <c r="N125" s="1169"/>
      <c r="O125" s="1645"/>
      <c r="P125" s="1645"/>
      <c r="Q125" s="1169"/>
      <c r="R125" s="1169"/>
      <c r="S125" s="1169"/>
      <c r="T125" s="1169"/>
      <c r="U125" s="1645"/>
      <c r="V125" s="1169"/>
      <c r="W125" s="1169"/>
      <c r="X125" s="553"/>
      <c r="Y125" s="1169"/>
      <c r="Z125" s="1169"/>
      <c r="AA125" s="1169"/>
      <c r="AB125" s="1169"/>
      <c r="AC125" s="1169"/>
      <c r="AD125" s="1641"/>
      <c r="AE125" s="575"/>
      <c r="AF125" s="575"/>
      <c r="AG125" s="575"/>
      <c r="AH125" s="575"/>
      <c r="AI125" s="1650">
        <v>11</v>
      </c>
    </row>
    <row s="1650" customFormat="1" customHeight="1" ht="11.549999999999999">
      <c r="A126" s="996"/>
      <c r="B126" s="1645"/>
      <c r="C126" s="1645"/>
      <c r="D126" s="360"/>
      <c r="J126" s="1650"/>
      <c r="K126" s="1650"/>
      <c r="L126" s="1650"/>
      <c r="N126" s="1169"/>
      <c r="O126" s="1645"/>
      <c r="P126" s="1645"/>
      <c r="Q126" s="1169"/>
      <c r="R126" s="1169"/>
      <c r="S126" s="1169"/>
      <c r="T126" s="1169"/>
      <c r="U126" s="1645"/>
      <c r="V126" s="1169"/>
      <c r="W126" s="1169"/>
      <c r="X126" s="553"/>
      <c r="Y126" s="1169"/>
      <c r="Z126" s="1169"/>
      <c r="AA126" s="1169"/>
      <c r="AB126" s="1169"/>
      <c r="AC126" s="1169"/>
      <c r="AD126" s="1641"/>
      <c r="AE126" s="575"/>
      <c r="AF126" s="575"/>
      <c r="AG126" s="575"/>
      <c r="AH126" s="575"/>
      <c r="AI126" s="1650">
        <v>11</v>
      </c>
    </row>
    <row s="1650" customFormat="1" customHeight="1" ht="11.549999999999999">
      <c r="A127" s="996"/>
      <c r="B127" s="1645"/>
      <c r="C127" s="1645"/>
      <c r="D127" s="360"/>
      <c r="J127" s="1650"/>
      <c r="K127" s="1650"/>
      <c r="L127" s="1650"/>
      <c r="N127" s="1169"/>
      <c r="O127" s="1645"/>
      <c r="P127" s="1645"/>
      <c r="Q127" s="1169"/>
      <c r="R127" s="1169"/>
      <c r="S127" s="1169"/>
      <c r="T127" s="1169"/>
      <c r="U127" s="1645"/>
      <c r="V127" s="1169"/>
      <c r="W127" s="1169"/>
      <c r="X127" s="553"/>
      <c r="Y127" s="1169"/>
      <c r="Z127" s="1169"/>
      <c r="AA127" s="1169"/>
      <c r="AB127" s="1169"/>
      <c r="AC127" s="1169"/>
      <c r="AD127" s="1641"/>
      <c r="AE127" s="575"/>
      <c r="AF127" s="575"/>
      <c r="AG127" s="575"/>
      <c r="AH127" s="575"/>
      <c r="AI127" s="1650">
        <v>11</v>
      </c>
    </row>
    <row s="1650" customFormat="1" customHeight="1" ht="11.549999999999999">
      <c r="A128" s="996"/>
      <c r="B128" s="1645"/>
      <c r="C128" s="1645"/>
      <c r="D128" s="360"/>
      <c r="J128" s="1650"/>
      <c r="K128" s="1650"/>
      <c r="L128" s="1650"/>
      <c r="N128" s="1169"/>
      <c r="O128" s="1645"/>
      <c r="P128" s="1645"/>
      <c r="Q128" s="1169"/>
      <c r="R128" s="1169"/>
      <c r="S128" s="1169"/>
      <c r="T128" s="1169"/>
      <c r="U128" s="1645"/>
      <c r="V128" s="1169"/>
      <c r="W128" s="1169"/>
      <c r="X128" s="553"/>
      <c r="Y128" s="1169"/>
      <c r="Z128" s="1169"/>
      <c r="AA128" s="1169"/>
      <c r="AB128" s="1169"/>
      <c r="AC128" s="1169"/>
      <c r="AD128" s="1641"/>
      <c r="AE128" s="575"/>
      <c r="AF128" s="575"/>
      <c r="AG128" s="575"/>
      <c r="AH128" s="575"/>
      <c r="AI128" s="1650">
        <v>11</v>
      </c>
    </row>
    <row s="1650" customFormat="1" customHeight="1" ht="11.549999999999999">
      <c r="A129" s="996"/>
      <c r="B129" s="1645"/>
      <c r="C129" s="1645"/>
      <c r="D129" s="360"/>
      <c r="J129" s="1650"/>
      <c r="K129" s="1650"/>
      <c r="L129" s="1650"/>
      <c r="N129" s="1169"/>
      <c r="O129" s="1645"/>
      <c r="P129" s="1645"/>
      <c r="Q129" s="1169"/>
      <c r="R129" s="1169"/>
      <c r="S129" s="1169"/>
      <c r="T129" s="1169"/>
      <c r="U129" s="1645"/>
      <c r="V129" s="1169"/>
      <c r="W129" s="1169"/>
      <c r="X129" s="553"/>
      <c r="Y129" s="1169"/>
      <c r="Z129" s="1169"/>
      <c r="AA129" s="1169"/>
      <c r="AB129" s="1169"/>
      <c r="AC129" s="1169"/>
      <c r="AD129" s="1641"/>
      <c r="AE129" s="575"/>
      <c r="AF129" s="575"/>
      <c r="AG129" s="575"/>
      <c r="AH129" s="575"/>
      <c r="AI129" s="1650">
        <v>11</v>
      </c>
    </row>
    <row s="1650" customFormat="1" customHeight="1" ht="11.549999999999999">
      <c r="A130" s="996"/>
      <c r="B130" s="1645"/>
      <c r="C130" s="1645"/>
      <c r="D130" s="360"/>
      <c r="J130" s="1650"/>
      <c r="K130" s="1650"/>
      <c r="L130" s="1650"/>
      <c r="N130" s="1169"/>
      <c r="O130" s="1645"/>
      <c r="P130" s="1645"/>
      <c r="Q130" s="1169"/>
      <c r="R130" s="1169"/>
      <c r="S130" s="1169"/>
      <c r="T130" s="1169"/>
      <c r="U130" s="1645"/>
      <c r="V130" s="1169"/>
      <c r="W130" s="1169"/>
      <c r="X130" s="553"/>
      <c r="Y130" s="1169"/>
      <c r="Z130" s="1169"/>
      <c r="AA130" s="1169"/>
      <c r="AB130" s="1169"/>
      <c r="AC130" s="1169"/>
      <c r="AD130" s="1641"/>
      <c r="AE130" s="575"/>
      <c r="AF130" s="575"/>
      <c r="AG130" s="575"/>
      <c r="AH130" s="575"/>
      <c r="AI130" s="1650">
        <v>11</v>
      </c>
    </row>
    <row s="1650" customFormat="1" customHeight="1" ht="11.549999999999999">
      <c r="A131" s="996"/>
      <c r="B131" s="1645"/>
      <c r="C131" s="1645"/>
      <c r="D131" s="360"/>
      <c r="J131" s="1650"/>
      <c r="K131" s="1650"/>
      <c r="L131" s="1650"/>
      <c r="N131" s="1169"/>
      <c r="O131" s="1645"/>
      <c r="P131" s="1645"/>
      <c r="Q131" s="1169"/>
      <c r="R131" s="1169"/>
      <c r="S131" s="1169"/>
      <c r="T131" s="1169"/>
      <c r="U131" s="1645"/>
      <c r="V131" s="1169"/>
      <c r="W131" s="1169"/>
      <c r="X131" s="553"/>
      <c r="Y131" s="1169"/>
      <c r="Z131" s="1169"/>
      <c r="AA131" s="1169"/>
      <c r="AB131" s="1169"/>
      <c r="AC131" s="1169"/>
      <c r="AD131" s="1641"/>
      <c r="AE131" s="575"/>
      <c r="AF131" s="575"/>
      <c r="AG131" s="575"/>
      <c r="AH131" s="575"/>
      <c r="AI131" s="1650">
        <v>11</v>
      </c>
    </row>
    <row s="1650" customFormat="1" customHeight="1" ht="11.549999999999999">
      <c r="A132" s="996"/>
      <c r="B132" s="1645"/>
      <c r="C132" s="1645"/>
      <c r="D132" s="360"/>
      <c r="J132" s="1650"/>
      <c r="K132" s="1650"/>
      <c r="L132" s="1650"/>
      <c r="N132" s="1169"/>
      <c r="O132" s="1645"/>
      <c r="P132" s="1645"/>
      <c r="Q132" s="1169"/>
      <c r="R132" s="1169"/>
      <c r="S132" s="1169"/>
      <c r="T132" s="1169"/>
      <c r="U132" s="1645"/>
      <c r="V132" s="1169"/>
      <c r="W132" s="1169"/>
      <c r="X132" s="553"/>
      <c r="Y132" s="1169"/>
      <c r="Z132" s="1169"/>
      <c r="AA132" s="1169"/>
      <c r="AB132" s="1169"/>
      <c r="AC132" s="1169"/>
      <c r="AD132" s="1641"/>
      <c r="AE132" s="575"/>
      <c r="AF132" s="575"/>
      <c r="AG132" s="575"/>
      <c r="AH132" s="575"/>
      <c r="AI132" s="1650">
        <v>11</v>
      </c>
    </row>
    <row s="1650" customFormat="1" customHeight="1" ht="11.549999999999999">
      <c r="A133" s="996"/>
      <c r="B133" s="1645"/>
      <c r="C133" s="1645"/>
      <c r="D133" s="360"/>
      <c r="J133" s="1650"/>
      <c r="K133" s="1650"/>
      <c r="L133" s="1650"/>
      <c r="N133" s="1169"/>
      <c r="O133" s="1645"/>
      <c r="P133" s="1645"/>
      <c r="Q133" s="1169"/>
      <c r="R133" s="1169"/>
      <c r="S133" s="1169"/>
      <c r="T133" s="1169"/>
      <c r="U133" s="1645"/>
      <c r="V133" s="1169"/>
      <c r="W133" s="1169"/>
      <c r="X133" s="553"/>
      <c r="Y133" s="1169"/>
      <c r="Z133" s="1169"/>
      <c r="AA133" s="1169"/>
      <c r="AB133" s="1169"/>
      <c r="AC133" s="1169"/>
      <c r="AD133" s="1641"/>
      <c r="AE133" s="575"/>
      <c r="AF133" s="575"/>
      <c r="AG133" s="575"/>
      <c r="AH133" s="575"/>
      <c r="AI133" s="1650">
        <v>11</v>
      </c>
    </row>
    <row s="1650" customFormat="1" customHeight="1" ht="11.549999999999999">
      <c r="A134" s="996"/>
      <c r="B134" s="1645"/>
      <c r="C134" s="1645"/>
      <c r="D134" s="360"/>
      <c r="J134" s="1650"/>
      <c r="K134" s="1650"/>
      <c r="L134" s="1650"/>
      <c r="N134" s="1169"/>
      <c r="O134" s="1645"/>
      <c r="P134" s="1645"/>
      <c r="Q134" s="1169"/>
      <c r="R134" s="1169"/>
      <c r="S134" s="1169"/>
      <c r="T134" s="1169"/>
      <c r="U134" s="1645"/>
      <c r="V134" s="1169"/>
      <c r="W134" s="1169"/>
      <c r="X134" s="553"/>
      <c r="Y134" s="1169"/>
      <c r="Z134" s="1169"/>
      <c r="AA134" s="1169"/>
      <c r="AB134" s="1169"/>
      <c r="AC134" s="1169"/>
      <c r="AD134" s="1641"/>
      <c r="AE134" s="575"/>
      <c r="AF134" s="575"/>
      <c r="AG134" s="575"/>
      <c r="AH134" s="575"/>
      <c r="AI134" s="1650">
        <v>11</v>
      </c>
    </row>
    <row s="1650" customFormat="1" customHeight="1" ht="11.549999999999999">
      <c r="A135" s="996"/>
      <c r="B135" s="1645"/>
      <c r="C135" s="1645"/>
      <c r="D135" s="360"/>
      <c r="J135" s="1650"/>
      <c r="K135" s="1650"/>
      <c r="L135" s="1650"/>
      <c r="N135" s="1169"/>
      <c r="O135" s="1645"/>
      <c r="P135" s="1645"/>
      <c r="Q135" s="1169"/>
      <c r="R135" s="1169"/>
      <c r="S135" s="1169"/>
      <c r="T135" s="1169"/>
      <c r="U135" s="1645"/>
      <c r="V135" s="1169"/>
      <c r="W135" s="1169"/>
      <c r="X135" s="553"/>
      <c r="Y135" s="1169"/>
      <c r="Z135" s="1169"/>
      <c r="AA135" s="1169"/>
      <c r="AB135" s="1169"/>
      <c r="AC135" s="1169"/>
      <c r="AD135" s="1641"/>
      <c r="AE135" s="575"/>
      <c r="AF135" s="575"/>
      <c r="AG135" s="575"/>
      <c r="AH135" s="575"/>
      <c r="AI135" s="1650">
        <v>11</v>
      </c>
    </row>
    <row s="1650" customFormat="1" customHeight="1" ht="11.549999999999999">
      <c r="A136" s="996"/>
      <c r="B136" s="1645"/>
      <c r="C136" s="1645"/>
      <c r="D136" s="360"/>
      <c r="J136" s="1650"/>
      <c r="K136" s="1650"/>
      <c r="L136" s="1650"/>
      <c r="N136" s="1169"/>
      <c r="O136" s="1645"/>
      <c r="P136" s="1645"/>
      <c r="Q136" s="1169"/>
      <c r="R136" s="1169"/>
      <c r="S136" s="1169"/>
      <c r="T136" s="1169"/>
      <c r="U136" s="1645"/>
      <c r="V136" s="1169"/>
      <c r="W136" s="1169"/>
      <c r="X136" s="553"/>
      <c r="Y136" s="1169"/>
      <c r="Z136" s="1169"/>
      <c r="AA136" s="1169"/>
      <c r="AB136" s="1169"/>
      <c r="AC136" s="1169"/>
      <c r="AD136" s="1641"/>
      <c r="AE136" s="575"/>
      <c r="AF136" s="575"/>
      <c r="AG136" s="575"/>
      <c r="AH136" s="575"/>
      <c r="AI136" s="1650">
        <v>11</v>
      </c>
    </row>
    <row s="1650" customFormat="1" customHeight="1" ht="11.549999999999999">
      <c r="A137" s="996"/>
      <c r="B137" s="1645"/>
      <c r="C137" s="1645"/>
      <c r="D137" s="360"/>
      <c r="J137" s="1650"/>
      <c r="K137" s="1650"/>
      <c r="L137" s="1650"/>
      <c r="N137" s="1169"/>
      <c r="O137" s="1645"/>
      <c r="P137" s="1645"/>
      <c r="Q137" s="1169"/>
      <c r="R137" s="1169"/>
      <c r="S137" s="1169"/>
      <c r="T137" s="1169"/>
      <c r="U137" s="1645"/>
      <c r="V137" s="1169"/>
      <c r="W137" s="1169"/>
      <c r="X137" s="553"/>
      <c r="Y137" s="1169"/>
      <c r="Z137" s="1169"/>
      <c r="AA137" s="1169"/>
      <c r="AB137" s="1169"/>
      <c r="AC137" s="1169"/>
      <c r="AD137" s="1641"/>
      <c r="AE137" s="575"/>
      <c r="AF137" s="575"/>
      <c r="AG137" s="575"/>
      <c r="AH137" s="575"/>
      <c r="AI137" s="1650">
        <v>11</v>
      </c>
    </row>
    <row s="1650" customFormat="1" customHeight="1" ht="11.549999999999999">
      <c r="A138" s="996"/>
      <c r="B138" s="1645"/>
      <c r="C138" s="1645"/>
      <c r="D138" s="360"/>
      <c r="J138" s="1650"/>
      <c r="K138" s="1650"/>
      <c r="L138" s="1650"/>
      <c r="N138" s="1169"/>
      <c r="O138" s="1645"/>
      <c r="P138" s="1645"/>
      <c r="Q138" s="1169"/>
      <c r="R138" s="1169"/>
      <c r="S138" s="1169"/>
      <c r="T138" s="1169"/>
      <c r="U138" s="1645"/>
      <c r="V138" s="1169"/>
      <c r="W138" s="1169"/>
      <c r="X138" s="553"/>
      <c r="Y138" s="1169"/>
      <c r="Z138" s="1169"/>
      <c r="AA138" s="1169"/>
      <c r="AB138" s="1169"/>
      <c r="AC138" s="1169"/>
      <c r="AD138" s="1641"/>
      <c r="AE138" s="575"/>
      <c r="AF138" s="575"/>
      <c r="AG138" s="575"/>
      <c r="AH138" s="575"/>
      <c r="AI138" s="1650">
        <v>11</v>
      </c>
    </row>
    <row s="1650" customFormat="1" customHeight="1" ht="11.549999999999999">
      <c r="A139" s="996"/>
      <c r="B139" s="1645"/>
      <c r="C139" s="1645"/>
      <c r="D139" s="360"/>
      <c r="J139" s="1650"/>
      <c r="K139" s="1650"/>
      <c r="L139" s="1650"/>
      <c r="N139" s="1169"/>
      <c r="O139" s="1645"/>
      <c r="P139" s="1645"/>
      <c r="Q139" s="1169"/>
      <c r="R139" s="1169"/>
      <c r="S139" s="1169"/>
      <c r="T139" s="1169"/>
      <c r="U139" s="1645"/>
      <c r="V139" s="1169"/>
      <c r="W139" s="1169"/>
      <c r="X139" s="553"/>
      <c r="Y139" s="1169"/>
      <c r="Z139" s="1169"/>
      <c r="AA139" s="1169"/>
      <c r="AB139" s="1169"/>
      <c r="AC139" s="1169"/>
      <c r="AD139" s="1641"/>
      <c r="AE139" s="575"/>
      <c r="AF139" s="575"/>
      <c r="AG139" s="575"/>
      <c r="AH139" s="575"/>
      <c r="AI139" s="1650">
        <v>11</v>
      </c>
    </row>
    <row s="1650" customFormat="1" customHeight="1" ht="11.549999999999999">
      <c r="A140" s="996"/>
      <c r="B140" s="1645"/>
      <c r="C140" s="1645"/>
      <c r="D140" s="360"/>
      <c r="J140" s="1650"/>
      <c r="K140" s="1650"/>
      <c r="L140" s="1650"/>
      <c r="N140" s="1169"/>
      <c r="O140" s="1645"/>
      <c r="P140" s="1645"/>
      <c r="Q140" s="1169"/>
      <c r="R140" s="1169"/>
      <c r="S140" s="1169"/>
      <c r="T140" s="1169"/>
      <c r="U140" s="1645"/>
      <c r="V140" s="1169"/>
      <c r="W140" s="1169"/>
      <c r="X140" s="553"/>
      <c r="Y140" s="1169"/>
      <c r="Z140" s="1169"/>
      <c r="AA140" s="1169"/>
      <c r="AB140" s="1169"/>
      <c r="AC140" s="1169"/>
      <c r="AD140" s="1641"/>
      <c r="AE140" s="575"/>
      <c r="AF140" s="575"/>
      <c r="AG140" s="575"/>
      <c r="AH140" s="575"/>
      <c r="AI140" s="1650">
        <v>11</v>
      </c>
    </row>
    <row s="1650" customFormat="1" customHeight="1" ht="11.549999999999999">
      <c r="A141" s="996"/>
      <c r="B141" s="1645"/>
      <c r="C141" s="1645"/>
      <c r="D141" s="360"/>
      <c r="J141" s="1650"/>
      <c r="K141" s="1650"/>
      <c r="L141" s="1650"/>
      <c r="N141" s="1169"/>
      <c r="O141" s="1645"/>
      <c r="P141" s="1645"/>
      <c r="Q141" s="1169"/>
      <c r="R141" s="1169"/>
      <c r="S141" s="1169"/>
      <c r="T141" s="1169"/>
      <c r="U141" s="1645"/>
      <c r="V141" s="1169"/>
      <c r="W141" s="1169"/>
      <c r="X141" s="553"/>
      <c r="Y141" s="1169"/>
      <c r="Z141" s="1169"/>
      <c r="AA141" s="1169"/>
      <c r="AB141" s="1169"/>
      <c r="AC141" s="1169"/>
      <c r="AD141" s="1641"/>
      <c r="AE141" s="575"/>
      <c r="AF141" s="575"/>
      <c r="AG141" s="575"/>
      <c r="AH141" s="575"/>
      <c r="AI141" s="1650">
        <v>11</v>
      </c>
    </row>
    <row s="1650" customFormat="1" customHeight="1" ht="11.549999999999999">
      <c r="A142" s="996"/>
      <c r="B142" s="1645"/>
      <c r="C142" s="1645"/>
      <c r="D142" s="360"/>
      <c r="J142" s="1650"/>
      <c r="K142" s="1650"/>
      <c r="L142" s="1650"/>
      <c r="N142" s="1169"/>
      <c r="O142" s="1645"/>
      <c r="P142" s="1645"/>
      <c r="Q142" s="1169"/>
      <c r="R142" s="1169"/>
      <c r="S142" s="1169"/>
      <c r="T142" s="1169"/>
      <c r="U142" s="1645"/>
      <c r="V142" s="1169"/>
      <c r="W142" s="1169"/>
      <c r="X142" s="553"/>
      <c r="Y142" s="1169"/>
      <c r="Z142" s="1169"/>
      <c r="AA142" s="1169"/>
      <c r="AB142" s="1169"/>
      <c r="AC142" s="1169"/>
      <c r="AD142" s="1641"/>
      <c r="AE142" s="575"/>
      <c r="AF142" s="575"/>
      <c r="AG142" s="575"/>
      <c r="AH142" s="575"/>
      <c r="AI142" s="1650">
        <v>11</v>
      </c>
    </row>
    <row s="1650" customFormat="1" customHeight="1" ht="11.549999999999999">
      <c r="A143" s="996"/>
      <c r="B143" s="1645"/>
      <c r="C143" s="1645"/>
      <c r="D143" s="360"/>
      <c r="J143" s="1650"/>
      <c r="K143" s="1650"/>
      <c r="L143" s="1650"/>
      <c r="N143" s="1169"/>
      <c r="O143" s="1645"/>
      <c r="P143" s="1645"/>
      <c r="Q143" s="1169"/>
      <c r="R143" s="1169"/>
      <c r="S143" s="1169"/>
      <c r="T143" s="1169"/>
      <c r="U143" s="1645"/>
      <c r="V143" s="1169"/>
      <c r="W143" s="1169"/>
      <c r="X143" s="553"/>
      <c r="Y143" s="1169"/>
      <c r="Z143" s="1169"/>
      <c r="AA143" s="1169"/>
      <c r="AB143" s="1169"/>
      <c r="AC143" s="1169"/>
      <c r="AD143" s="1641"/>
      <c r="AE143" s="575"/>
      <c r="AF143" s="575"/>
      <c r="AG143" s="575"/>
      <c r="AH143" s="575"/>
      <c r="AI143" s="1650">
        <v>11</v>
      </c>
    </row>
    <row s="1650" customFormat="1" customHeight="1" ht="11.549999999999999">
      <c r="A144" s="996"/>
      <c r="B144" s="1645"/>
      <c r="C144" s="1645"/>
      <c r="D144" s="360"/>
      <c r="J144" s="1650"/>
      <c r="K144" s="1650"/>
      <c r="L144" s="1650"/>
      <c r="N144" s="1169"/>
      <c r="O144" s="1645"/>
      <c r="P144" s="1645"/>
      <c r="Q144" s="1169"/>
      <c r="R144" s="1169"/>
      <c r="S144" s="1169"/>
      <c r="T144" s="1169"/>
      <c r="U144" s="1645"/>
      <c r="V144" s="1169"/>
      <c r="W144" s="1169"/>
      <c r="X144" s="553"/>
      <c r="Y144" s="1169"/>
      <c r="Z144" s="1169"/>
      <c r="AA144" s="1169"/>
      <c r="AB144" s="1169"/>
      <c r="AC144" s="1169"/>
      <c r="AD144" s="1641"/>
      <c r="AE144" s="575"/>
      <c r="AF144" s="575"/>
      <c r="AG144" s="575"/>
      <c r="AH144" s="575"/>
      <c r="AI144" s="1650">
        <v>11</v>
      </c>
    </row>
    <row s="1650" customFormat="1" customHeight="1" ht="11.549999999999999">
      <c r="A145" s="996"/>
      <c r="B145" s="1645"/>
      <c r="C145" s="1645"/>
      <c r="D145" s="360"/>
      <c r="J145" s="1650"/>
      <c r="K145" s="1650"/>
      <c r="L145" s="1650"/>
      <c r="N145" s="1169"/>
      <c r="O145" s="1645"/>
      <c r="P145" s="1645"/>
      <c r="Q145" s="1169"/>
      <c r="R145" s="1169"/>
      <c r="S145" s="1169"/>
      <c r="T145" s="1169"/>
      <c r="U145" s="1645"/>
      <c r="V145" s="1169"/>
      <c r="W145" s="1169"/>
      <c r="X145" s="553"/>
      <c r="Y145" s="1169"/>
      <c r="Z145" s="1169"/>
      <c r="AA145" s="1169"/>
      <c r="AB145" s="1169"/>
      <c r="AC145" s="1169"/>
      <c r="AD145" s="1641"/>
      <c r="AE145" s="575"/>
      <c r="AF145" s="575"/>
      <c r="AG145" s="575"/>
      <c r="AH145" s="575"/>
      <c r="AI145" s="1650">
        <v>11</v>
      </c>
    </row>
    <row s="1650" customFormat="1" customHeight="1" ht="11.549999999999999">
      <c r="A146" s="996"/>
      <c r="B146" s="1645"/>
      <c r="C146" s="1645"/>
      <c r="D146" s="360"/>
      <c r="J146" s="1650"/>
      <c r="K146" s="1650"/>
      <c r="L146" s="1650"/>
      <c r="N146" s="1169"/>
      <c r="O146" s="1645"/>
      <c r="P146" s="1645"/>
      <c r="Q146" s="1169"/>
      <c r="R146" s="1169"/>
      <c r="S146" s="1169"/>
      <c r="T146" s="1169"/>
      <c r="U146" s="1645"/>
      <c r="V146" s="1169"/>
      <c r="W146" s="1169"/>
      <c r="X146" s="553"/>
      <c r="Y146" s="1169"/>
      <c r="Z146" s="1169"/>
      <c r="AA146" s="1169"/>
      <c r="AB146" s="1169"/>
      <c r="AC146" s="1169"/>
      <c r="AD146" s="1641"/>
      <c r="AE146" s="575"/>
      <c r="AF146" s="575"/>
      <c r="AG146" s="575"/>
      <c r="AH146" s="575"/>
      <c r="AI146" s="1650">
        <v>11</v>
      </c>
    </row>
    <row s="1650" customFormat="1" customHeight="1" ht="11.549999999999999">
      <c r="A147" s="996"/>
      <c r="B147" s="1645"/>
      <c r="C147" s="1645"/>
      <c r="D147" s="360"/>
      <c r="J147" s="1650"/>
      <c r="K147" s="1650"/>
      <c r="L147" s="1650"/>
      <c r="N147" s="1169"/>
      <c r="O147" s="1645"/>
      <c r="P147" s="1645"/>
      <c r="Q147" s="1169"/>
      <c r="R147" s="1169"/>
      <c r="S147" s="1169"/>
      <c r="T147" s="1169"/>
      <c r="U147" s="1645"/>
      <c r="V147" s="1169"/>
      <c r="W147" s="1169"/>
      <c r="X147" s="553"/>
      <c r="Y147" s="1169"/>
      <c r="Z147" s="1169"/>
      <c r="AA147" s="1169"/>
      <c r="AB147" s="1169"/>
      <c r="AC147" s="1169"/>
      <c r="AD147" s="1641"/>
      <c r="AE147" s="575"/>
      <c r="AF147" s="575"/>
      <c r="AG147" s="575"/>
      <c r="AH147" s="575"/>
      <c r="AI147" s="1650">
        <v>11</v>
      </c>
    </row>
    <row s="1650" customFormat="1" customHeight="1" ht="11.549999999999999">
      <c r="A148" s="996"/>
      <c r="B148" s="1645"/>
      <c r="C148" s="1645"/>
      <c r="D148" s="360"/>
      <c r="J148" s="1650"/>
      <c r="K148" s="1650"/>
      <c r="L148" s="1650"/>
      <c r="N148" s="1169"/>
      <c r="O148" s="1645"/>
      <c r="P148" s="1645"/>
      <c r="Q148" s="1169"/>
      <c r="R148" s="1169"/>
      <c r="S148" s="1169"/>
      <c r="T148" s="1169"/>
      <c r="U148" s="1645"/>
      <c r="V148" s="1169"/>
      <c r="W148" s="1169"/>
      <c r="X148" s="553"/>
      <c r="Y148" s="1169"/>
      <c r="Z148" s="1169"/>
      <c r="AA148" s="1169"/>
      <c r="AB148" s="1169"/>
      <c r="AC148" s="1169"/>
      <c r="AD148" s="1641"/>
      <c r="AE148" s="575"/>
      <c r="AF148" s="575"/>
      <c r="AG148" s="575"/>
      <c r="AH148" s="575"/>
      <c r="AI148" s="1650">
        <v>11</v>
      </c>
    </row>
    <row s="1650" customFormat="1" customHeight="1" ht="11.549999999999999">
      <c r="A149" s="996"/>
      <c r="B149" s="1645"/>
      <c r="C149" s="1645"/>
      <c r="D149" s="360"/>
      <c r="J149" s="1650"/>
      <c r="K149" s="1650"/>
      <c r="L149" s="1650"/>
      <c r="N149" s="1169"/>
      <c r="O149" s="1645"/>
      <c r="P149" s="1645"/>
      <c r="Q149" s="1169"/>
      <c r="R149" s="1169"/>
      <c r="S149" s="1169"/>
      <c r="T149" s="1169"/>
      <c r="U149" s="1645"/>
      <c r="V149" s="1169"/>
      <c r="W149" s="1169"/>
      <c r="X149" s="553"/>
      <c r="Y149" s="1169"/>
      <c r="Z149" s="1169"/>
      <c r="AA149" s="1169"/>
      <c r="AB149" s="1169"/>
      <c r="AC149" s="1169"/>
      <c r="AD149" s="1641"/>
      <c r="AE149" s="575"/>
      <c r="AF149" s="575"/>
      <c r="AG149" s="575"/>
      <c r="AH149" s="575"/>
      <c r="AI149" s="1650">
        <v>11</v>
      </c>
    </row>
    <row s="1650" customFormat="1" customHeight="1" ht="11.549999999999999">
      <c r="A150" s="996"/>
      <c r="B150" s="1645"/>
      <c r="C150" s="1645"/>
      <c r="D150" s="360"/>
      <c r="J150" s="1650"/>
      <c r="K150" s="1650"/>
      <c r="L150" s="1650"/>
      <c r="N150" s="1169"/>
      <c r="O150" s="1645"/>
      <c r="P150" s="1645"/>
      <c r="Q150" s="1169"/>
      <c r="R150" s="1169"/>
      <c r="S150" s="1169"/>
      <c r="T150" s="1169"/>
      <c r="U150" s="1645"/>
      <c r="V150" s="1169"/>
      <c r="W150" s="1169"/>
      <c r="X150" s="553"/>
      <c r="Y150" s="1169"/>
      <c r="Z150" s="1169"/>
      <c r="AA150" s="1169"/>
      <c r="AB150" s="1169"/>
      <c r="AC150" s="1169"/>
      <c r="AD150" s="1641"/>
      <c r="AE150" s="575"/>
      <c r="AF150" s="575"/>
      <c r="AG150" s="575"/>
      <c r="AH150" s="575"/>
      <c r="AI150" s="1650">
        <v>11</v>
      </c>
    </row>
    <row s="1650" customFormat="1" customHeight="1" ht="11.549999999999999">
      <c r="A151" s="996"/>
      <c r="B151" s="1645"/>
      <c r="C151" s="1645"/>
      <c r="D151" s="360"/>
      <c r="J151" s="1650"/>
      <c r="K151" s="1650"/>
      <c r="L151" s="1650"/>
      <c r="N151" s="1169"/>
      <c r="O151" s="1645"/>
      <c r="P151" s="1645"/>
      <c r="Q151" s="1169"/>
      <c r="R151" s="1169"/>
      <c r="S151" s="1169"/>
      <c r="T151" s="1169"/>
      <c r="U151" s="1645"/>
      <c r="V151" s="1169"/>
      <c r="W151" s="1169"/>
      <c r="X151" s="553"/>
      <c r="Y151" s="1169"/>
      <c r="Z151" s="1169"/>
      <c r="AA151" s="1169"/>
      <c r="AB151" s="1169"/>
      <c r="AC151" s="1169"/>
      <c r="AD151" s="1641"/>
      <c r="AE151" s="575"/>
      <c r="AF151" s="575"/>
      <c r="AG151" s="575"/>
      <c r="AH151" s="575"/>
      <c r="AI151" s="1650">
        <v>11</v>
      </c>
    </row>
    <row s="1650" customFormat="1" customHeight="1" ht="11.549999999999999">
      <c r="A152" s="996"/>
      <c r="B152" s="1645"/>
      <c r="C152" s="1645"/>
      <c r="D152" s="360"/>
      <c r="J152" s="1650"/>
      <c r="K152" s="1650"/>
      <c r="L152" s="1650"/>
      <c r="N152" s="1169"/>
      <c r="O152" s="1645"/>
      <c r="P152" s="1645"/>
      <c r="Q152" s="1169"/>
      <c r="R152" s="1169"/>
      <c r="S152" s="1169"/>
      <c r="T152" s="1169"/>
      <c r="U152" s="1645"/>
      <c r="V152" s="1169"/>
      <c r="W152" s="1169"/>
      <c r="X152" s="553"/>
      <c r="Y152" s="1169"/>
      <c r="Z152" s="1169"/>
      <c r="AA152" s="1169"/>
      <c r="AB152" s="1169"/>
      <c r="AC152" s="1169"/>
      <c r="AD152" s="1641"/>
      <c r="AE152" s="575"/>
      <c r="AF152" s="575"/>
      <c r="AG152" s="575"/>
      <c r="AH152" s="575"/>
      <c r="AI152" s="1650">
        <v>11</v>
      </c>
    </row>
    <row s="1650" customFormat="1" customHeight="1" ht="11.549999999999999">
      <c r="A153" s="996"/>
      <c r="B153" s="1645"/>
      <c r="C153" s="1645"/>
      <c r="D153" s="360"/>
      <c r="J153" s="1650"/>
      <c r="K153" s="1650"/>
      <c r="L153" s="1650"/>
      <c r="N153" s="1169"/>
      <c r="O153" s="1645"/>
      <c r="P153" s="1645"/>
      <c r="Q153" s="1169"/>
      <c r="R153" s="1169"/>
      <c r="S153" s="1169"/>
      <c r="T153" s="1169"/>
      <c r="U153" s="1645"/>
      <c r="V153" s="1169"/>
      <c r="W153" s="1169"/>
      <c r="X153" s="553"/>
      <c r="Y153" s="1169"/>
      <c r="Z153" s="1169"/>
      <c r="AA153" s="1169"/>
      <c r="AB153" s="1169"/>
      <c r="AC153" s="1169"/>
      <c r="AD153" s="1641"/>
      <c r="AE153" s="575"/>
      <c r="AF153" s="575"/>
      <c r="AG153" s="575"/>
      <c r="AH153" s="575"/>
      <c r="AI153" s="1650">
        <v>11</v>
      </c>
    </row>
    <row s="1650" customFormat="1" customHeight="1" ht="11.549999999999999">
      <c r="A154" s="996"/>
      <c r="B154" s="1645"/>
      <c r="C154" s="1645"/>
      <c r="D154" s="360"/>
      <c r="J154" s="1650"/>
      <c r="K154" s="1650"/>
      <c r="L154" s="1650"/>
      <c r="N154" s="1169"/>
      <c r="O154" s="1645"/>
      <c r="P154" s="1645"/>
      <c r="Q154" s="1169"/>
      <c r="R154" s="1169"/>
      <c r="S154" s="1169"/>
      <c r="T154" s="1169"/>
      <c r="U154" s="1645"/>
      <c r="V154" s="1169"/>
      <c r="W154" s="1169"/>
      <c r="X154" s="553"/>
      <c r="Y154" s="1169"/>
      <c r="Z154" s="1169"/>
      <c r="AA154" s="1169"/>
      <c r="AB154" s="1169"/>
      <c r="AC154" s="1169"/>
      <c r="AD154" s="1641"/>
      <c r="AE154" s="575"/>
      <c r="AF154" s="575"/>
      <c r="AG154" s="575"/>
      <c r="AH154" s="575"/>
      <c r="AI154" s="1650">
        <v>11</v>
      </c>
    </row>
    <row s="1650" customFormat="1" customHeight="1" ht="11.549999999999999">
      <c r="A155" s="996"/>
      <c r="B155" s="1645"/>
      <c r="C155" s="1645"/>
      <c r="D155" s="360"/>
      <c r="J155" s="1650"/>
      <c r="K155" s="1650"/>
      <c r="L155" s="1650"/>
      <c r="N155" s="1169"/>
      <c r="O155" s="1645"/>
      <c r="P155" s="1645"/>
      <c r="Q155" s="1169"/>
      <c r="R155" s="1169"/>
      <c r="S155" s="1169"/>
      <c r="T155" s="1169"/>
      <c r="U155" s="1645"/>
      <c r="V155" s="1169"/>
      <c r="W155" s="1169"/>
      <c r="X155" s="553"/>
      <c r="Y155" s="1169"/>
      <c r="Z155" s="1169"/>
      <c r="AA155" s="1169"/>
      <c r="AB155" s="1169"/>
      <c r="AC155" s="1169"/>
      <c r="AD155" s="1641"/>
      <c r="AE155" s="575"/>
      <c r="AF155" s="575"/>
      <c r="AG155" s="575"/>
      <c r="AH155" s="575"/>
      <c r="AI155" s="1650">
        <v>11</v>
      </c>
    </row>
    <row s="1650" customFormat="1" customHeight="1" ht="11.549999999999999">
      <c r="A156" s="996"/>
      <c r="B156" s="1645"/>
      <c r="C156" s="1645"/>
      <c r="D156" s="360"/>
      <c r="J156" s="1650"/>
      <c r="K156" s="1650"/>
      <c r="L156" s="1650"/>
      <c r="N156" s="1169"/>
      <c r="O156" s="1645"/>
      <c r="P156" s="1645"/>
      <c r="Q156" s="1169"/>
      <c r="R156" s="1169"/>
      <c r="S156" s="1169"/>
      <c r="T156" s="1169"/>
      <c r="U156" s="1645"/>
      <c r="V156" s="1169"/>
      <c r="W156" s="1169"/>
      <c r="X156" s="553"/>
      <c r="Y156" s="1169"/>
      <c r="Z156" s="1169"/>
      <c r="AA156" s="1169"/>
      <c r="AB156" s="1169"/>
      <c r="AC156" s="1169"/>
      <c r="AD156" s="1641"/>
      <c r="AE156" s="575"/>
      <c r="AF156" s="575"/>
      <c r="AG156" s="575"/>
      <c r="AH156" s="575"/>
      <c r="AI156" s="1650">
        <v>11</v>
      </c>
    </row>
    <row s="1650" customFormat="1" customHeight="1" ht="11.549999999999999">
      <c r="A157" s="996"/>
      <c r="B157" s="1645"/>
      <c r="C157" s="1645"/>
      <c r="D157" s="360"/>
      <c r="J157" s="1650"/>
      <c r="K157" s="1650"/>
      <c r="L157" s="1650"/>
      <c r="N157" s="1169"/>
      <c r="O157" s="1645"/>
      <c r="P157" s="1645"/>
      <c r="Q157" s="1169"/>
      <c r="R157" s="1169"/>
      <c r="S157" s="1169"/>
      <c r="T157" s="1169"/>
      <c r="U157" s="1645"/>
      <c r="V157" s="1169"/>
      <c r="W157" s="1169"/>
      <c r="X157" s="553"/>
      <c r="Y157" s="1169"/>
      <c r="Z157" s="1169"/>
      <c r="AA157" s="1169"/>
      <c r="AB157" s="1169"/>
      <c r="AC157" s="1169"/>
      <c r="AD157" s="1641"/>
      <c r="AE157" s="575"/>
      <c r="AF157" s="575"/>
      <c r="AG157" s="575"/>
      <c r="AH157" s="575"/>
      <c r="AI157" s="1650">
        <v>11</v>
      </c>
    </row>
    <row s="1650" customFormat="1" customHeight="1" ht="11.549999999999999">
      <c r="A158" s="996"/>
      <c r="B158" s="1645"/>
      <c r="C158" s="1645"/>
      <c r="D158" s="360"/>
      <c r="J158" s="1650"/>
      <c r="K158" s="1650"/>
      <c r="L158" s="1650"/>
      <c r="N158" s="1169"/>
      <c r="O158" s="1645"/>
      <c r="P158" s="1645"/>
      <c r="Q158" s="1169"/>
      <c r="R158" s="1169"/>
      <c r="S158" s="1169"/>
      <c r="T158" s="1169"/>
      <c r="U158" s="1645"/>
      <c r="V158" s="1169"/>
      <c r="W158" s="1169"/>
      <c r="X158" s="553"/>
      <c r="Y158" s="1169"/>
      <c r="Z158" s="1169"/>
      <c r="AA158" s="1169"/>
      <c r="AB158" s="1169"/>
      <c r="AC158" s="1169"/>
      <c r="AD158" s="1641"/>
      <c r="AE158" s="575"/>
      <c r="AF158" s="575"/>
      <c r="AG158" s="575"/>
      <c r="AH158" s="575"/>
      <c r="AI158" s="1650">
        <v>11</v>
      </c>
    </row>
    <row s="1650" customFormat="1" customHeight="1" ht="11.549999999999999">
      <c r="A159" s="996"/>
      <c r="B159" s="1645"/>
      <c r="C159" s="1645"/>
      <c r="D159" s="360"/>
      <c r="J159" s="1650"/>
      <c r="K159" s="1650"/>
      <c r="L159" s="1650"/>
      <c r="N159" s="1169"/>
      <c r="O159" s="1645"/>
      <c r="P159" s="1645"/>
      <c r="Q159" s="1169"/>
      <c r="R159" s="1169"/>
      <c r="S159" s="1169"/>
      <c r="T159" s="1169"/>
      <c r="U159" s="1645"/>
      <c r="V159" s="1169"/>
      <c r="W159" s="1169"/>
      <c r="X159" s="553"/>
      <c r="Y159" s="1169"/>
      <c r="Z159" s="1169"/>
      <c r="AA159" s="1169"/>
      <c r="AB159" s="1169"/>
      <c r="AC159" s="1169"/>
      <c r="AD159" s="1641"/>
      <c r="AE159" s="575"/>
      <c r="AF159" s="575"/>
      <c r="AG159" s="575"/>
      <c r="AH159" s="575"/>
      <c r="AI159" s="1650">
        <v>11</v>
      </c>
    </row>
    <row s="1650" customFormat="1" customHeight="1" ht="11.549999999999999">
      <c r="A160" s="996"/>
      <c r="B160" s="1645"/>
      <c r="C160" s="1645"/>
      <c r="D160" s="360"/>
      <c r="J160" s="1650"/>
      <c r="K160" s="1650"/>
      <c r="L160" s="1650"/>
      <c r="N160" s="1169"/>
      <c r="O160" s="1645"/>
      <c r="P160" s="1645"/>
      <c r="Q160" s="1169"/>
      <c r="R160" s="1169"/>
      <c r="S160" s="1169"/>
      <c r="T160" s="1169"/>
      <c r="U160" s="1645"/>
      <c r="V160" s="1169"/>
      <c r="W160" s="1169"/>
      <c r="X160" s="553"/>
      <c r="Y160" s="1169"/>
      <c r="Z160" s="1169"/>
      <c r="AA160" s="1169"/>
      <c r="AB160" s="1169"/>
      <c r="AC160" s="1169"/>
      <c r="AD160" s="1641"/>
      <c r="AE160" s="575"/>
      <c r="AF160" s="575"/>
      <c r="AG160" s="575"/>
      <c r="AH160" s="575"/>
      <c r="AI160" s="1650">
        <v>11</v>
      </c>
    </row>
    <row s="1650" customFormat="1" customHeight="1" ht="11.549999999999999">
      <c r="A161" s="996"/>
      <c r="B161" s="1645"/>
      <c r="C161" s="1645"/>
      <c r="D161" s="360"/>
      <c r="J161" s="1650"/>
      <c r="K161" s="1650"/>
      <c r="L161" s="1650"/>
      <c r="N161" s="1169"/>
      <c r="O161" s="1645"/>
      <c r="P161" s="1645"/>
      <c r="Q161" s="1169"/>
      <c r="R161" s="1169"/>
      <c r="S161" s="1169"/>
      <c r="T161" s="1169"/>
      <c r="U161" s="1645"/>
      <c r="V161" s="1169"/>
      <c r="W161" s="1169"/>
      <c r="X161" s="553"/>
      <c r="Y161" s="1169"/>
      <c r="Z161" s="1169"/>
      <c r="AA161" s="1169"/>
      <c r="AB161" s="1169"/>
      <c r="AC161" s="1169"/>
      <c r="AD161" s="1641"/>
      <c r="AE161" s="575"/>
      <c r="AF161" s="575"/>
      <c r="AG161" s="575"/>
      <c r="AH161" s="575"/>
      <c r="AI161" s="1650">
        <v>11</v>
      </c>
    </row>
    <row s="1650" customFormat="1" customHeight="1" ht="11.549999999999999">
      <c r="A162" s="996"/>
      <c r="B162" s="1645"/>
      <c r="C162" s="1645"/>
      <c r="D162" s="360"/>
      <c r="J162" s="1650"/>
      <c r="K162" s="1650"/>
      <c r="L162" s="1650"/>
      <c r="N162" s="1169"/>
      <c r="O162" s="1645"/>
      <c r="P162" s="1645"/>
      <c r="Q162" s="1169"/>
      <c r="R162" s="1169"/>
      <c r="S162" s="1169"/>
      <c r="T162" s="1169"/>
      <c r="U162" s="1645"/>
      <c r="V162" s="1169"/>
      <c r="W162" s="1169"/>
      <c r="X162" s="553"/>
      <c r="Y162" s="1169"/>
      <c r="Z162" s="1169"/>
      <c r="AA162" s="1169"/>
      <c r="AB162" s="1169"/>
      <c r="AC162" s="1169"/>
      <c r="AD162" s="1641"/>
      <c r="AE162" s="575"/>
      <c r="AF162" s="575"/>
      <c r="AG162" s="575"/>
      <c r="AH162" s="575"/>
      <c r="AI162" s="1650">
        <v>11</v>
      </c>
    </row>
    <row s="1650" customFormat="1" customHeight="1" ht="11.549999999999999">
      <c r="A163" s="996"/>
      <c r="B163" s="1645"/>
      <c r="C163" s="1645"/>
      <c r="D163" s="360"/>
      <c r="J163" s="1650"/>
      <c r="K163" s="1650"/>
      <c r="L163" s="1650"/>
      <c r="N163" s="1169"/>
      <c r="O163" s="1645"/>
      <c r="P163" s="1645"/>
      <c r="Q163" s="1169"/>
      <c r="R163" s="1169"/>
      <c r="S163" s="1169"/>
      <c r="T163" s="1169"/>
      <c r="U163" s="1645"/>
      <c r="V163" s="1169"/>
      <c r="W163" s="1169"/>
      <c r="X163" s="553"/>
      <c r="Y163" s="1169"/>
      <c r="Z163" s="1169"/>
      <c r="AA163" s="1169"/>
      <c r="AB163" s="1169"/>
      <c r="AC163" s="1169"/>
      <c r="AD163" s="1641"/>
      <c r="AE163" s="575"/>
      <c r="AF163" s="575"/>
      <c r="AG163" s="575"/>
      <c r="AH163" s="575"/>
      <c r="AI163" s="1650">
        <v>11</v>
      </c>
    </row>
    <row s="1650" customFormat="1" customHeight="1" ht="11.549999999999999">
      <c r="A164" s="996"/>
      <c r="B164" s="1645"/>
      <c r="C164" s="1645"/>
      <c r="D164" s="360"/>
      <c r="J164" s="1650"/>
      <c r="K164" s="1650"/>
      <c r="L164" s="1650"/>
      <c r="N164" s="1169"/>
      <c r="O164" s="1645"/>
      <c r="P164" s="1645"/>
      <c r="Q164" s="1169"/>
      <c r="R164" s="1169"/>
      <c r="S164" s="1169"/>
      <c r="T164" s="1169"/>
      <c r="U164" s="1645"/>
      <c r="V164" s="1169"/>
      <c r="W164" s="1169"/>
      <c r="X164" s="553"/>
      <c r="Y164" s="1169"/>
      <c r="Z164" s="1169"/>
      <c r="AA164" s="1169"/>
      <c r="AB164" s="1169"/>
      <c r="AC164" s="1169"/>
      <c r="AD164" s="1641"/>
      <c r="AE164" s="575"/>
      <c r="AF164" s="575"/>
      <c r="AG164" s="575"/>
      <c r="AH164" s="575"/>
      <c r="AI164" s="1650">
        <v>11</v>
      </c>
    </row>
    <row s="1650" customFormat="1" customHeight="1" ht="11.549999999999999">
      <c r="A165" s="996"/>
      <c r="B165" s="1645"/>
      <c r="C165" s="1645"/>
      <c r="D165" s="360"/>
      <c r="J165" s="1650"/>
      <c r="K165" s="1650"/>
      <c r="L165" s="1650"/>
      <c r="N165" s="1169"/>
      <c r="O165" s="1645"/>
      <c r="P165" s="1645"/>
      <c r="Q165" s="1169"/>
      <c r="R165" s="1169"/>
      <c r="S165" s="1169"/>
      <c r="T165" s="1169"/>
      <c r="U165" s="1645"/>
      <c r="V165" s="1169"/>
      <c r="W165" s="1169"/>
      <c r="X165" s="553"/>
      <c r="Y165" s="1169"/>
      <c r="Z165" s="1169"/>
      <c r="AA165" s="1169"/>
      <c r="AB165" s="1169"/>
      <c r="AC165" s="1169"/>
      <c r="AD165" s="1641"/>
      <c r="AE165" s="575"/>
      <c r="AF165" s="575"/>
      <c r="AG165" s="575"/>
      <c r="AH165" s="575"/>
      <c r="AI165" s="1650">
        <v>11</v>
      </c>
    </row>
    <row s="1650" customFormat="1" customHeight="1" ht="11.549999999999999">
      <c r="A166" s="996"/>
      <c r="B166" s="1645"/>
      <c r="C166" s="1645"/>
      <c r="D166" s="360"/>
      <c r="J166" s="1650"/>
      <c r="K166" s="1650"/>
      <c r="L166" s="1650"/>
      <c r="N166" s="1169"/>
      <c r="O166" s="1645"/>
      <c r="P166" s="1645"/>
      <c r="Q166" s="1169"/>
      <c r="R166" s="1169"/>
      <c r="S166" s="1169"/>
      <c r="T166" s="1169"/>
      <c r="U166" s="1645"/>
      <c r="V166" s="1169"/>
      <c r="W166" s="1169"/>
      <c r="X166" s="553"/>
      <c r="Y166" s="1169"/>
      <c r="Z166" s="1169"/>
      <c r="AA166" s="1169"/>
      <c r="AB166" s="1169"/>
      <c r="AC166" s="1169"/>
      <c r="AD166" s="1641"/>
      <c r="AE166" s="575"/>
      <c r="AF166" s="575"/>
      <c r="AG166" s="575"/>
      <c r="AH166" s="575"/>
      <c r="AI166" s="1650">
        <v>11</v>
      </c>
    </row>
    <row s="1650" customFormat="1" customHeight="1" ht="11.549999999999999">
      <c r="A167" s="996"/>
      <c r="B167" s="1645"/>
      <c r="C167" s="1645"/>
      <c r="D167" s="360"/>
      <c r="J167" s="1650"/>
      <c r="K167" s="1650"/>
      <c r="L167" s="1650"/>
      <c r="N167" s="1169"/>
      <c r="O167" s="1645"/>
      <c r="P167" s="1645"/>
      <c r="Q167" s="1169"/>
      <c r="R167" s="1169"/>
      <c r="S167" s="1169"/>
      <c r="T167" s="1169"/>
      <c r="U167" s="1645"/>
      <c r="V167" s="1169"/>
      <c r="W167" s="1169"/>
      <c r="X167" s="553"/>
      <c r="Y167" s="1169"/>
      <c r="Z167" s="1169"/>
      <c r="AA167" s="1169"/>
      <c r="AB167" s="1169"/>
      <c r="AC167" s="1169"/>
      <c r="AD167" s="1641"/>
      <c r="AE167" s="575"/>
      <c r="AF167" s="575"/>
      <c r="AG167" s="575"/>
      <c r="AH167" s="575"/>
      <c r="AI167" s="1650">
        <v>11</v>
      </c>
    </row>
    <row s="1650" customFormat="1" customHeight="1" ht="11.549999999999999">
      <c r="A168" s="996"/>
      <c r="B168" s="1645"/>
      <c r="C168" s="1645"/>
      <c r="D168" s="360"/>
      <c r="J168" s="1650"/>
      <c r="K168" s="1650"/>
      <c r="L168" s="1650"/>
      <c r="N168" s="1169"/>
      <c r="O168" s="1645"/>
      <c r="P168" s="1645"/>
      <c r="Q168" s="1169"/>
      <c r="R168" s="1169"/>
      <c r="S168" s="1169"/>
      <c r="T168" s="1169"/>
      <c r="U168" s="1645"/>
      <c r="V168" s="1169"/>
      <c r="W168" s="1169"/>
      <c r="X168" s="553"/>
      <c r="Y168" s="1169"/>
      <c r="Z168" s="1169"/>
      <c r="AA168" s="1169"/>
      <c r="AB168" s="1169"/>
      <c r="AC168" s="1169"/>
      <c r="AD168" s="1641"/>
      <c r="AE168" s="575"/>
      <c r="AF168" s="575"/>
      <c r="AG168" s="575"/>
      <c r="AH168" s="575"/>
      <c r="AI168" s="1650">
        <v>11</v>
      </c>
    </row>
    <row s="1650" customFormat="1" customHeight="1" ht="11.549999999999999">
      <c r="A169" s="996"/>
      <c r="B169" s="1645"/>
      <c r="C169" s="1645"/>
      <c r="D169" s="360"/>
      <c r="J169" s="1650"/>
      <c r="K169" s="1650"/>
      <c r="L169" s="1650"/>
      <c r="N169" s="1169"/>
      <c r="O169" s="1645"/>
      <c r="P169" s="1645"/>
      <c r="Q169" s="1169"/>
      <c r="R169" s="1169"/>
      <c r="S169" s="1169"/>
      <c r="T169" s="1169"/>
      <c r="U169" s="1645"/>
      <c r="V169" s="1169"/>
      <c r="W169" s="1169"/>
      <c r="X169" s="553"/>
      <c r="Y169" s="1169"/>
      <c r="Z169" s="1169"/>
      <c r="AA169" s="1169"/>
      <c r="AB169" s="1169"/>
      <c r="AC169" s="1169"/>
      <c r="AD169" s="1641"/>
      <c r="AE169" s="575"/>
      <c r="AF169" s="575"/>
      <c r="AG169" s="575"/>
      <c r="AH169" s="575"/>
      <c r="AI169" s="1650">
        <v>11</v>
      </c>
    </row>
    <row s="1650" customFormat="1" customHeight="1" ht="11.549999999999999">
      <c r="A170" s="996"/>
      <c r="B170" s="1645"/>
      <c r="C170" s="1645"/>
      <c r="D170" s="360"/>
      <c r="J170" s="1650"/>
      <c r="K170" s="1650"/>
      <c r="L170" s="1650"/>
      <c r="N170" s="1169"/>
      <c r="O170" s="1645"/>
      <c r="P170" s="1645"/>
      <c r="Q170" s="1169"/>
      <c r="R170" s="1169"/>
      <c r="S170" s="1169"/>
      <c r="T170" s="1169"/>
      <c r="U170" s="1645"/>
      <c r="V170" s="1169"/>
      <c r="W170" s="1169"/>
      <c r="X170" s="553"/>
      <c r="Y170" s="1169"/>
      <c r="Z170" s="1169"/>
      <c r="AA170" s="1169"/>
      <c r="AB170" s="1169"/>
      <c r="AC170" s="1169"/>
      <c r="AD170" s="1641"/>
      <c r="AE170" s="575"/>
      <c r="AF170" s="575"/>
      <c r="AG170" s="575"/>
      <c r="AH170" s="575"/>
      <c r="AI170" s="1650">
        <v>11</v>
      </c>
    </row>
    <row s="1650" customFormat="1" customHeight="1" ht="11.549999999999999">
      <c r="A171" s="996"/>
      <c r="B171" s="1645"/>
      <c r="C171" s="1645"/>
      <c r="D171" s="360"/>
      <c r="J171" s="1650"/>
      <c r="K171" s="1650"/>
      <c r="L171" s="1650"/>
      <c r="N171" s="1169"/>
      <c r="O171" s="1645"/>
      <c r="P171" s="1645"/>
      <c r="Q171" s="1169"/>
      <c r="R171" s="1169"/>
      <c r="S171" s="1169"/>
      <c r="T171" s="1169"/>
      <c r="U171" s="1645"/>
      <c r="V171" s="1169"/>
      <c r="W171" s="1169"/>
      <c r="X171" s="553"/>
      <c r="Y171" s="1169"/>
      <c r="Z171" s="1169"/>
      <c r="AA171" s="1169"/>
      <c r="AB171" s="1169"/>
      <c r="AC171" s="1169"/>
      <c r="AD171" s="1641"/>
      <c r="AE171" s="575"/>
      <c r="AF171" s="575"/>
      <c r="AG171" s="575"/>
      <c r="AH171" s="575"/>
      <c r="AI171" s="1650">
        <v>11</v>
      </c>
    </row>
    <row s="1650" customFormat="1" customHeight="1" ht="11.549999999999999">
      <c r="A172" s="996"/>
      <c r="B172" s="1645"/>
      <c r="C172" s="1645"/>
      <c r="D172" s="360"/>
      <c r="J172" s="1650"/>
      <c r="K172" s="1650"/>
      <c r="L172" s="1650"/>
      <c r="N172" s="1169"/>
      <c r="O172" s="1645"/>
      <c r="P172" s="1645"/>
      <c r="Q172" s="1169"/>
      <c r="R172" s="1169"/>
      <c r="S172" s="1169"/>
      <c r="T172" s="1169"/>
      <c r="U172" s="1645"/>
      <c r="V172" s="1169"/>
      <c r="W172" s="1169"/>
      <c r="X172" s="553"/>
      <c r="Y172" s="1169"/>
      <c r="Z172" s="1169"/>
      <c r="AA172" s="1169"/>
      <c r="AB172" s="1169"/>
      <c r="AC172" s="1169"/>
      <c r="AD172" s="1641"/>
      <c r="AE172" s="575"/>
      <c r="AF172" s="575"/>
      <c r="AG172" s="575"/>
      <c r="AH172" s="575"/>
      <c r="AI172" s="1650">
        <v>11</v>
      </c>
    </row>
    <row s="1650" customFormat="1" customHeight="1" ht="11.549999999999999">
      <c r="A173" s="996"/>
      <c r="B173" s="1645"/>
      <c r="C173" s="1645"/>
      <c r="D173" s="360"/>
      <c r="J173" s="1650"/>
      <c r="K173" s="1650"/>
      <c r="L173" s="1650"/>
      <c r="N173" s="1169"/>
      <c r="O173" s="1645"/>
      <c r="P173" s="1645"/>
      <c r="Q173" s="1169"/>
      <c r="R173" s="1169"/>
      <c r="S173" s="1169"/>
      <c r="T173" s="1169"/>
      <c r="U173" s="1645"/>
      <c r="V173" s="1169"/>
      <c r="W173" s="1169"/>
      <c r="X173" s="553"/>
      <c r="Y173" s="1169"/>
      <c r="Z173" s="1169"/>
      <c r="AA173" s="1169"/>
      <c r="AB173" s="1169"/>
      <c r="AC173" s="1169"/>
      <c r="AD173" s="1641"/>
      <c r="AE173" s="575"/>
      <c r="AF173" s="575"/>
      <c r="AG173" s="575"/>
      <c r="AH173" s="575"/>
      <c r="AI173" s="1650">
        <v>11</v>
      </c>
    </row>
    <row s="1650" customFormat="1" customHeight="1" ht="11.549999999999999">
      <c r="A174" s="996"/>
      <c r="B174" s="1645"/>
      <c r="C174" s="1645"/>
      <c r="D174" s="360"/>
      <c r="J174" s="1650"/>
      <c r="K174" s="1650"/>
      <c r="L174" s="1650"/>
      <c r="N174" s="1169"/>
      <c r="O174" s="1645"/>
      <c r="P174" s="1645"/>
      <c r="Q174" s="1169"/>
      <c r="R174" s="1169"/>
      <c r="S174" s="1169"/>
      <c r="T174" s="1169"/>
      <c r="U174" s="1645"/>
      <c r="V174" s="1169"/>
      <c r="W174" s="1169"/>
      <c r="X174" s="553"/>
      <c r="Y174" s="1169"/>
      <c r="Z174" s="1169"/>
      <c r="AA174" s="1169"/>
      <c r="AB174" s="1169"/>
      <c r="AC174" s="1169"/>
      <c r="AD174" s="1641"/>
      <c r="AE174" s="575"/>
      <c r="AF174" s="575"/>
      <c r="AG174" s="575"/>
      <c r="AH174" s="575"/>
      <c r="AI174" s="1650">
        <v>11</v>
      </c>
    </row>
    <row s="1650" customFormat="1" customHeight="1" ht="11.549999999999999">
      <c r="A175" s="996"/>
      <c r="B175" s="1645"/>
      <c r="C175" s="1645"/>
      <c r="D175" s="360"/>
      <c r="J175" s="1650"/>
      <c r="K175" s="1650"/>
      <c r="L175" s="1650"/>
      <c r="N175" s="1169"/>
      <c r="O175" s="1645"/>
      <c r="P175" s="1645"/>
      <c r="Q175" s="1169"/>
      <c r="R175" s="1169"/>
      <c r="S175" s="1169"/>
      <c r="T175" s="1169"/>
      <c r="U175" s="1645"/>
      <c r="V175" s="1169"/>
      <c r="W175" s="1169"/>
      <c r="X175" s="553"/>
      <c r="Y175" s="1169"/>
      <c r="Z175" s="1169"/>
      <c r="AA175" s="1169"/>
      <c r="AB175" s="1169"/>
      <c r="AC175" s="1169"/>
      <c r="AD175" s="1641"/>
      <c r="AE175" s="575"/>
      <c r="AF175" s="575"/>
      <c r="AG175" s="575"/>
      <c r="AH175" s="575"/>
      <c r="AI175" s="1650">
        <v>11</v>
      </c>
    </row>
    <row s="1650" customFormat="1" customHeight="1" ht="11.549999999999999">
      <c r="A176" s="996"/>
      <c r="B176" s="1645"/>
      <c r="C176" s="1645"/>
      <c r="D176" s="360"/>
      <c r="J176" s="1650"/>
      <c r="K176" s="1650"/>
      <c r="L176" s="1650"/>
      <c r="N176" s="1169"/>
      <c r="O176" s="1645"/>
      <c r="P176" s="1645"/>
      <c r="Q176" s="1169"/>
      <c r="R176" s="1169"/>
      <c r="S176" s="1169"/>
      <c r="T176" s="1169"/>
      <c r="U176" s="1645"/>
      <c r="V176" s="1169"/>
      <c r="W176" s="1169"/>
      <c r="X176" s="553"/>
      <c r="Y176" s="1169"/>
      <c r="Z176" s="1169"/>
      <c r="AA176" s="1169"/>
      <c r="AB176" s="1169"/>
      <c r="AC176" s="1169"/>
      <c r="AD176" s="1641"/>
      <c r="AE176" s="575"/>
      <c r="AF176" s="575"/>
      <c r="AG176" s="575"/>
      <c r="AH176" s="575"/>
      <c r="AI176" s="1650">
        <v>11</v>
      </c>
    </row>
    <row s="1650" customFormat="1" customHeight="1" ht="11.549999999999999">
      <c r="A177" s="996"/>
      <c r="B177" s="1645"/>
      <c r="C177" s="1645"/>
      <c r="D177" s="360"/>
      <c r="J177" s="1650"/>
      <c r="K177" s="1650"/>
      <c r="L177" s="1650"/>
      <c r="N177" s="1169"/>
      <c r="O177" s="1645"/>
      <c r="P177" s="1645"/>
      <c r="Q177" s="1169"/>
      <c r="R177" s="1169"/>
      <c r="S177" s="1169"/>
      <c r="T177" s="1169"/>
      <c r="U177" s="1645"/>
      <c r="V177" s="1169"/>
      <c r="W177" s="1169"/>
      <c r="X177" s="553"/>
      <c r="Y177" s="1169"/>
      <c r="Z177" s="1169"/>
      <c r="AA177" s="1169"/>
      <c r="AB177" s="1169"/>
      <c r="AC177" s="1169"/>
      <c r="AD177" s="1641"/>
      <c r="AE177" s="575"/>
      <c r="AF177" s="575"/>
      <c r="AG177" s="575"/>
      <c r="AH177" s="575"/>
      <c r="AI177" s="1650">
        <v>11</v>
      </c>
    </row>
    <row s="1650" customFormat="1" customHeight="1" ht="11.549999999999999">
      <c r="A178" s="996"/>
      <c r="B178" s="1645"/>
      <c r="C178" s="1645"/>
      <c r="D178" s="360"/>
      <c r="J178" s="1650"/>
      <c r="K178" s="1650"/>
      <c r="L178" s="1650"/>
      <c r="N178" s="1169"/>
      <c r="O178" s="1645"/>
      <c r="P178" s="1645"/>
      <c r="Q178" s="1169"/>
      <c r="R178" s="1169"/>
      <c r="S178" s="1169"/>
      <c r="T178" s="1169"/>
      <c r="U178" s="1645"/>
      <c r="V178" s="1169"/>
      <c r="W178" s="1169"/>
      <c r="X178" s="553"/>
      <c r="Y178" s="1169"/>
      <c r="Z178" s="1169"/>
      <c r="AA178" s="1169"/>
      <c r="AB178" s="1169"/>
      <c r="AC178" s="1169"/>
      <c r="AD178" s="1641"/>
      <c r="AE178" s="575"/>
      <c r="AF178" s="575"/>
      <c r="AG178" s="575"/>
      <c r="AH178" s="575"/>
      <c r="AI178" s="1650">
        <v>11</v>
      </c>
    </row>
    <row s="1650" customFormat="1" customHeight="1" ht="11.549999999999999">
      <c r="A179" s="996"/>
      <c r="B179" s="1645"/>
      <c r="C179" s="1645"/>
      <c r="D179" s="360"/>
      <c r="J179" s="1650"/>
      <c r="K179" s="1650"/>
      <c r="L179" s="1650"/>
      <c r="N179" s="1169"/>
      <c r="O179" s="1645"/>
      <c r="P179" s="1645"/>
      <c r="Q179" s="1169"/>
      <c r="R179" s="1169"/>
      <c r="S179" s="1169"/>
      <c r="T179" s="1169"/>
      <c r="U179" s="1645"/>
      <c r="V179" s="1169"/>
      <c r="W179" s="1169"/>
      <c r="X179" s="553"/>
      <c r="Y179" s="1169"/>
      <c r="Z179" s="1169"/>
      <c r="AA179" s="1169"/>
      <c r="AB179" s="1169"/>
      <c r="AC179" s="1169"/>
      <c r="AD179" s="1641"/>
      <c r="AE179" s="575"/>
      <c r="AF179" s="575"/>
      <c r="AG179" s="575"/>
      <c r="AH179" s="575"/>
      <c r="AI179" s="1650">
        <v>11</v>
      </c>
    </row>
    <row s="1650" customFormat="1" customHeight="1" ht="11.549999999999999">
      <c r="A180" s="996"/>
      <c r="B180" s="1645"/>
      <c r="C180" s="1645"/>
      <c r="D180" s="360"/>
      <c r="J180" s="1650"/>
      <c r="K180" s="1650"/>
      <c r="L180" s="1650"/>
      <c r="N180" s="1169"/>
      <c r="O180" s="1645"/>
      <c r="P180" s="1645"/>
      <c r="Q180" s="1169"/>
      <c r="R180" s="1169"/>
      <c r="S180" s="1169"/>
      <c r="T180" s="1169"/>
      <c r="U180" s="1645"/>
      <c r="V180" s="1169"/>
      <c r="W180" s="1169"/>
      <c r="X180" s="553"/>
      <c r="Y180" s="1169"/>
      <c r="Z180" s="1169"/>
      <c r="AA180" s="1169"/>
      <c r="AB180" s="1169"/>
      <c r="AC180" s="1169"/>
      <c r="AD180" s="1641"/>
      <c r="AE180" s="575"/>
      <c r="AF180" s="575"/>
      <c r="AG180" s="575"/>
      <c r="AH180" s="575"/>
      <c r="AI180" s="1650">
        <v>11</v>
      </c>
    </row>
    <row s="1650" customFormat="1" customHeight="1" ht="11.549999999999999">
      <c r="A181" s="996"/>
      <c r="B181" s="1645"/>
      <c r="C181" s="1645"/>
      <c r="D181" s="360"/>
      <c r="J181" s="1650"/>
      <c r="K181" s="1650"/>
      <c r="L181" s="1650"/>
      <c r="N181" s="1169"/>
      <c r="O181" s="1645"/>
      <c r="P181" s="1645"/>
      <c r="Q181" s="1169"/>
      <c r="R181" s="1169"/>
      <c r="S181" s="1169"/>
      <c r="T181" s="1169"/>
      <c r="U181" s="1645"/>
      <c r="V181" s="1169"/>
      <c r="W181" s="1169"/>
      <c r="X181" s="553"/>
      <c r="Y181" s="1169"/>
      <c r="Z181" s="1169"/>
      <c r="AA181" s="1169"/>
      <c r="AB181" s="1169"/>
      <c r="AC181" s="1169"/>
      <c r="AD181" s="1641"/>
      <c r="AE181" s="575"/>
      <c r="AF181" s="575"/>
      <c r="AG181" s="575"/>
      <c r="AH181" s="575"/>
      <c r="AI181" s="1650">
        <v>11</v>
      </c>
    </row>
    <row s="1650" customFormat="1" customHeight="1" ht="11.549999999999999">
      <c r="A182" s="996"/>
      <c r="B182" s="1645"/>
      <c r="C182" s="1645"/>
      <c r="D182" s="360"/>
      <c r="J182" s="1650"/>
      <c r="K182" s="1650"/>
      <c r="L182" s="1650"/>
      <c r="N182" s="1169"/>
      <c r="O182" s="1645"/>
      <c r="P182" s="1645"/>
      <c r="Q182" s="1169"/>
      <c r="R182" s="1169"/>
      <c r="S182" s="1169"/>
      <c r="T182" s="1169"/>
      <c r="U182" s="1645"/>
      <c r="V182" s="1169"/>
      <c r="W182" s="1169"/>
      <c r="X182" s="553"/>
      <c r="Y182" s="1169"/>
      <c r="Z182" s="1169"/>
      <c r="AA182" s="1169"/>
      <c r="AB182" s="1169"/>
      <c r="AC182" s="1169"/>
      <c r="AD182" s="1641"/>
      <c r="AE182" s="575"/>
      <c r="AF182" s="575"/>
      <c r="AG182" s="575"/>
      <c r="AH182" s="575"/>
      <c r="AI182" s="1650">
        <v>11</v>
      </c>
    </row>
    <row s="1650" customFormat="1" customHeight="1" ht="11.549999999999999">
      <c r="A183" s="996"/>
      <c r="B183" s="1645"/>
      <c r="C183" s="1645"/>
      <c r="D183" s="360"/>
      <c r="J183" s="1650"/>
      <c r="K183" s="1650"/>
      <c r="L183" s="1650"/>
      <c r="N183" s="1169"/>
      <c r="O183" s="1645"/>
      <c r="P183" s="1645"/>
      <c r="Q183" s="1169"/>
      <c r="R183" s="1169"/>
      <c r="S183" s="1169"/>
      <c r="T183" s="1169"/>
      <c r="U183" s="1645"/>
      <c r="V183" s="1169"/>
      <c r="W183" s="1169"/>
      <c r="X183" s="553"/>
      <c r="Y183" s="1169"/>
      <c r="Z183" s="1169"/>
      <c r="AA183" s="1169"/>
      <c r="AB183" s="1169"/>
      <c r="AC183" s="1169"/>
      <c r="AD183" s="1641"/>
      <c r="AE183" s="575"/>
      <c r="AF183" s="575"/>
      <c r="AG183" s="575"/>
      <c r="AH183" s="575"/>
      <c r="AI183" s="1650">
        <v>11</v>
      </c>
    </row>
    <row s="1650" customFormat="1" customHeight="1" ht="11.549999999999999">
      <c r="A184" s="996"/>
      <c r="B184" s="1645"/>
      <c r="C184" s="1645"/>
      <c r="D184" s="360"/>
      <c r="J184" s="1650"/>
      <c r="K184" s="1650"/>
      <c r="L184" s="1650"/>
      <c r="N184" s="1169"/>
      <c r="O184" s="1645"/>
      <c r="P184" s="1645"/>
      <c r="Q184" s="1169"/>
      <c r="R184" s="1169"/>
      <c r="S184" s="1169"/>
      <c r="T184" s="1169"/>
      <c r="U184" s="1645"/>
      <c r="V184" s="1169"/>
      <c r="W184" s="1169"/>
      <c r="X184" s="553"/>
      <c r="Y184" s="1169"/>
      <c r="Z184" s="1169"/>
      <c r="AA184" s="1169"/>
      <c r="AB184" s="1169"/>
      <c r="AC184" s="1169"/>
      <c r="AD184" s="1641"/>
      <c r="AE184" s="575"/>
      <c r="AF184" s="575"/>
      <c r="AG184" s="575"/>
      <c r="AH184" s="575"/>
      <c r="AI184" s="1650">
        <v>11</v>
      </c>
    </row>
    <row s="1650" customFormat="1" customHeight="1" ht="11.549999999999999">
      <c r="A185" s="996"/>
      <c r="B185" s="1645"/>
      <c r="C185" s="1645"/>
      <c r="D185" s="360"/>
      <c r="J185" s="1650"/>
      <c r="K185" s="1650"/>
      <c r="L185" s="1650"/>
      <c r="N185" s="1169"/>
      <c r="O185" s="1645"/>
      <c r="P185" s="1645"/>
      <c r="Q185" s="1169"/>
      <c r="R185" s="1169"/>
      <c r="S185" s="1169"/>
      <c r="T185" s="1169"/>
      <c r="U185" s="1645"/>
      <c r="V185" s="1169"/>
      <c r="W185" s="1169"/>
      <c r="X185" s="553"/>
      <c r="Y185" s="1169"/>
      <c r="Z185" s="1169"/>
      <c r="AA185" s="1169"/>
      <c r="AB185" s="1169"/>
      <c r="AC185" s="1169"/>
      <c r="AD185" s="1641"/>
      <c r="AE185" s="575"/>
      <c r="AF185" s="575"/>
      <c r="AG185" s="575"/>
      <c r="AH185" s="575"/>
      <c r="AI185" s="1650">
        <v>11</v>
      </c>
    </row>
    <row s="1650" customFormat="1" customHeight="1" ht="11.549999999999999">
      <c r="A186" s="996"/>
      <c r="B186" s="1645"/>
      <c r="C186" s="1645"/>
      <c r="D186" s="360"/>
      <c r="J186" s="1650"/>
      <c r="K186" s="1650"/>
      <c r="L186" s="1650"/>
      <c r="N186" s="1169"/>
      <c r="O186" s="1645"/>
      <c r="P186" s="1645"/>
      <c r="Q186" s="1169"/>
      <c r="R186" s="1169"/>
      <c r="S186" s="1169"/>
      <c r="T186" s="1169"/>
      <c r="U186" s="1645"/>
      <c r="V186" s="1169"/>
      <c r="W186" s="1169"/>
      <c r="X186" s="553"/>
      <c r="Y186" s="1169"/>
      <c r="Z186" s="1169"/>
      <c r="AA186" s="1169"/>
      <c r="AB186" s="1169"/>
      <c r="AC186" s="1169"/>
      <c r="AD186" s="1641"/>
      <c r="AE186" s="575"/>
      <c r="AF186" s="575"/>
      <c r="AG186" s="575"/>
      <c r="AH186" s="575"/>
      <c r="AI186" s="1650">
        <v>11</v>
      </c>
    </row>
    <row s="1650" customFormat="1" customHeight="1" ht="11.549999999999999">
      <c r="A187" s="996"/>
      <c r="B187" s="1645"/>
      <c r="C187" s="1645"/>
      <c r="D187" s="360"/>
      <c r="J187" s="1650"/>
      <c r="K187" s="1650"/>
      <c r="L187" s="1650"/>
      <c r="N187" s="1169"/>
      <c r="O187" s="1645"/>
      <c r="P187" s="1645"/>
      <c r="Q187" s="1169"/>
      <c r="R187" s="1169"/>
      <c r="S187" s="1169"/>
      <c r="T187" s="1169"/>
      <c r="U187" s="1645"/>
      <c r="V187" s="1169"/>
      <c r="W187" s="1169"/>
      <c r="X187" s="553"/>
      <c r="Y187" s="1169"/>
      <c r="Z187" s="1169"/>
      <c r="AA187" s="1169"/>
      <c r="AB187" s="1169"/>
      <c r="AC187" s="1169"/>
      <c r="AD187" s="1641"/>
      <c r="AE187" s="575"/>
      <c r="AF187" s="575"/>
      <c r="AG187" s="575"/>
      <c r="AH187" s="575"/>
      <c r="AI187" s="1650">
        <v>11</v>
      </c>
    </row>
    <row s="1650" customFormat="1" customHeight="1" ht="11.549999999999999">
      <c r="A188" s="996"/>
      <c r="B188" s="1645"/>
      <c r="C188" s="1645"/>
      <c r="D188" s="360"/>
      <c r="J188" s="1650"/>
      <c r="K188" s="1650"/>
      <c r="L188" s="1650"/>
      <c r="N188" s="1169"/>
      <c r="O188" s="1645"/>
      <c r="P188" s="1645"/>
      <c r="Q188" s="1169"/>
      <c r="R188" s="1169"/>
      <c r="S188" s="1169"/>
      <c r="T188" s="1169"/>
      <c r="U188" s="1645"/>
      <c r="V188" s="1169"/>
      <c r="W188" s="1169"/>
      <c r="X188" s="553"/>
      <c r="Y188" s="1169"/>
      <c r="Z188" s="1169"/>
      <c r="AA188" s="1169"/>
      <c r="AB188" s="1169"/>
      <c r="AC188" s="1169"/>
      <c r="AD188" s="1641"/>
      <c r="AE188" s="575"/>
      <c r="AF188" s="575"/>
      <c r="AG188" s="575"/>
      <c r="AH188" s="575"/>
      <c r="AI188" s="1650">
        <v>11</v>
      </c>
    </row>
    <row s="1650" customFormat="1" customHeight="1" ht="11.549999999999999">
      <c r="A189" s="996"/>
      <c r="B189" s="1645"/>
      <c r="C189" s="1645"/>
      <c r="D189" s="360"/>
      <c r="J189" s="1650"/>
      <c r="K189" s="1650"/>
      <c r="L189" s="1650"/>
      <c r="N189" s="1169"/>
      <c r="O189" s="1645"/>
      <c r="P189" s="1645"/>
      <c r="Q189" s="1169"/>
      <c r="R189" s="1169"/>
      <c r="S189" s="1169"/>
      <c r="T189" s="1169"/>
      <c r="U189" s="1645"/>
      <c r="V189" s="1169"/>
      <c r="W189" s="1169"/>
      <c r="X189" s="553"/>
      <c r="Y189" s="1169"/>
      <c r="Z189" s="1169"/>
      <c r="AA189" s="1169"/>
      <c r="AB189" s="1169"/>
      <c r="AC189" s="1169"/>
      <c r="AD189" s="1641"/>
      <c r="AE189" s="575"/>
      <c r="AF189" s="575"/>
      <c r="AG189" s="575"/>
      <c r="AH189" s="575"/>
      <c r="AI189" s="1650">
        <v>11</v>
      </c>
    </row>
    <row s="1650" customFormat="1" customHeight="1" ht="11.549999999999999">
      <c r="A190" s="996"/>
      <c r="B190" s="1645"/>
      <c r="C190" s="1645"/>
      <c r="D190" s="360"/>
      <c r="J190" s="1650"/>
      <c r="K190" s="1650"/>
      <c r="L190" s="1650"/>
      <c r="N190" s="1169"/>
      <c r="O190" s="1645"/>
      <c r="P190" s="1645"/>
      <c r="Q190" s="1169"/>
      <c r="R190" s="1169"/>
      <c r="S190" s="1169"/>
      <c r="T190" s="1169"/>
      <c r="U190" s="1645"/>
      <c r="V190" s="1169"/>
      <c r="W190" s="1169"/>
      <c r="X190" s="553"/>
      <c r="Y190" s="1169"/>
      <c r="Z190" s="1169"/>
      <c r="AA190" s="1169"/>
      <c r="AB190" s="1169"/>
      <c r="AC190" s="1169"/>
      <c r="AD190" s="1641"/>
      <c r="AE190" s="575"/>
      <c r="AF190" s="575"/>
      <c r="AG190" s="575"/>
      <c r="AH190" s="575"/>
      <c r="AI190" s="1650">
        <v>11</v>
      </c>
    </row>
    <row s="1650" customFormat="1" customHeight="1" ht="11.549999999999999">
      <c r="A191" s="996"/>
      <c r="B191" s="1645"/>
      <c r="C191" s="1645"/>
      <c r="D191" s="360"/>
      <c r="J191" s="1650"/>
      <c r="K191" s="1650"/>
      <c r="L191" s="1650"/>
      <c r="N191" s="1169"/>
      <c r="O191" s="1645"/>
      <c r="P191" s="1645"/>
      <c r="Q191" s="1169"/>
      <c r="R191" s="1169"/>
      <c r="S191" s="1169"/>
      <c r="T191" s="1169"/>
      <c r="U191" s="1645"/>
      <c r="V191" s="1169"/>
      <c r="W191" s="1169"/>
      <c r="X191" s="553"/>
      <c r="Y191" s="1169"/>
      <c r="Z191" s="1169"/>
      <c r="AA191" s="1169"/>
      <c r="AB191" s="1169"/>
      <c r="AC191" s="1169"/>
      <c r="AD191" s="1641"/>
      <c r="AE191" s="575"/>
      <c r="AF191" s="575"/>
      <c r="AG191" s="575"/>
      <c r="AH191" s="575"/>
      <c r="AI191" s="1650">
        <v>11</v>
      </c>
    </row>
    <row s="1650" customFormat="1" customHeight="1" ht="11.549999999999999">
      <c r="A192" s="996"/>
      <c r="B192" s="1645"/>
      <c r="C192" s="1645"/>
      <c r="D192" s="360"/>
      <c r="J192" s="1650"/>
      <c r="K192" s="1650"/>
      <c r="L192" s="1650"/>
      <c r="N192" s="1169"/>
      <c r="O192" s="1645"/>
      <c r="P192" s="1645"/>
      <c r="Q192" s="1169"/>
      <c r="R192" s="1169"/>
      <c r="S192" s="1169"/>
      <c r="T192" s="1169"/>
      <c r="U192" s="1645"/>
      <c r="V192" s="1169"/>
      <c r="W192" s="1169"/>
      <c r="X192" s="553"/>
      <c r="Y192" s="1169"/>
      <c r="Z192" s="1169"/>
      <c r="AA192" s="1169"/>
      <c r="AB192" s="1169"/>
      <c r="AC192" s="1169"/>
      <c r="AD192" s="1641"/>
      <c r="AE192" s="575"/>
      <c r="AF192" s="575"/>
      <c r="AG192" s="575"/>
      <c r="AH192" s="575"/>
      <c r="AI192" s="1650">
        <v>11</v>
      </c>
    </row>
    <row s="1650" customFormat="1" customHeight="1" ht="11.549999999999999">
      <c r="A193" s="996"/>
      <c r="B193" s="1645"/>
      <c r="C193" s="1645"/>
      <c r="D193" s="360"/>
      <c r="J193" s="1650"/>
      <c r="K193" s="1650"/>
      <c r="L193" s="1650"/>
      <c r="N193" s="1169"/>
      <c r="O193" s="1645"/>
      <c r="P193" s="1645"/>
      <c r="Q193" s="1169"/>
      <c r="R193" s="1169"/>
      <c r="S193" s="1169"/>
      <c r="T193" s="1169"/>
      <c r="U193" s="1645"/>
      <c r="V193" s="1169"/>
      <c r="W193" s="1169"/>
      <c r="X193" s="553"/>
      <c r="Y193" s="1169"/>
      <c r="Z193" s="1169"/>
      <c r="AA193" s="1169"/>
      <c r="AB193" s="1169"/>
      <c r="AC193" s="1169"/>
      <c r="AD193" s="1641"/>
      <c r="AE193" s="575"/>
      <c r="AF193" s="575"/>
      <c r="AG193" s="575"/>
      <c r="AH193" s="575"/>
      <c r="AI193" s="1650">
        <v>11</v>
      </c>
    </row>
    <row s="1650" customFormat="1" customHeight="1" ht="11.549999999999999">
      <c r="A194" s="996"/>
      <c r="B194" s="1645"/>
      <c r="C194" s="1645"/>
      <c r="D194" s="360"/>
      <c r="J194" s="1650"/>
      <c r="K194" s="1650"/>
      <c r="L194" s="1650"/>
      <c r="N194" s="1169"/>
      <c r="O194" s="1645"/>
      <c r="P194" s="1645"/>
      <c r="Q194" s="1169"/>
      <c r="R194" s="1169"/>
      <c r="S194" s="1169"/>
      <c r="T194" s="1169"/>
      <c r="U194" s="1645"/>
      <c r="V194" s="1169"/>
      <c r="W194" s="1169"/>
      <c r="X194" s="553"/>
      <c r="Y194" s="1169"/>
      <c r="Z194" s="1169"/>
      <c r="AA194" s="1169"/>
      <c r="AB194" s="1169"/>
      <c r="AC194" s="1169"/>
      <c r="AD194" s="1641"/>
      <c r="AE194" s="575"/>
      <c r="AF194" s="575"/>
      <c r="AG194" s="575"/>
      <c r="AH194" s="575"/>
      <c r="AI194" s="1650">
        <v>11</v>
      </c>
    </row>
    <row s="1650" customFormat="1" customHeight="1" ht="11.549999999999999">
      <c r="A195" s="996"/>
      <c r="B195" s="1645"/>
      <c r="C195" s="1645"/>
      <c r="D195" s="360"/>
      <c r="J195" s="1650"/>
      <c r="K195" s="1650"/>
      <c r="L195" s="1650"/>
      <c r="N195" s="1169"/>
      <c r="O195" s="1645"/>
      <c r="P195" s="1645"/>
      <c r="Q195" s="1169"/>
      <c r="R195" s="1169"/>
      <c r="S195" s="1169"/>
      <c r="T195" s="1169"/>
      <c r="U195" s="1645"/>
      <c r="V195" s="1169"/>
      <c r="W195" s="1169"/>
      <c r="X195" s="553"/>
      <c r="Y195" s="1169"/>
      <c r="Z195" s="1169"/>
      <c r="AA195" s="1169"/>
      <c r="AB195" s="1169"/>
      <c r="AC195" s="1169"/>
      <c r="AD195" s="1641"/>
      <c r="AE195" s="575"/>
      <c r="AF195" s="575"/>
      <c r="AG195" s="575"/>
      <c r="AH195" s="575"/>
      <c r="AI195" s="1650">
        <v>11</v>
      </c>
    </row>
    <row s="1650" customFormat="1" customHeight="1" ht="11.549999999999999">
      <c r="A196" s="996"/>
      <c r="B196" s="1645"/>
      <c r="C196" s="1645"/>
      <c r="D196" s="360"/>
      <c r="J196" s="1650"/>
      <c r="K196" s="1650"/>
      <c r="L196" s="1650"/>
      <c r="N196" s="1169"/>
      <c r="O196" s="1645"/>
      <c r="P196" s="1645"/>
      <c r="Q196" s="1169"/>
      <c r="R196" s="1169"/>
      <c r="S196" s="1169"/>
      <c r="T196" s="1169"/>
      <c r="U196" s="1645"/>
      <c r="V196" s="1169"/>
      <c r="W196" s="1169"/>
      <c r="X196" s="553"/>
      <c r="Y196" s="1169"/>
      <c r="Z196" s="1169"/>
      <c r="AA196" s="1169"/>
      <c r="AB196" s="1169"/>
      <c r="AC196" s="1169"/>
      <c r="AD196" s="1641"/>
      <c r="AE196" s="575"/>
      <c r="AF196" s="575"/>
      <c r="AG196" s="575"/>
      <c r="AH196" s="575"/>
      <c r="AI196" s="1650">
        <v>11</v>
      </c>
    </row>
    <row s="1650" customFormat="1" customHeight="1" ht="11.549999999999999">
      <c r="A197" s="996"/>
      <c r="B197" s="1645"/>
      <c r="C197" s="1645"/>
      <c r="D197" s="360"/>
      <c r="J197" s="1650"/>
      <c r="K197" s="1650"/>
      <c r="L197" s="1650"/>
      <c r="N197" s="1169"/>
      <c r="O197" s="1645"/>
      <c r="P197" s="1645"/>
      <c r="Q197" s="1169"/>
      <c r="R197" s="1169"/>
      <c r="S197" s="1169"/>
      <c r="T197" s="1169"/>
      <c r="U197" s="1645"/>
      <c r="V197" s="1169"/>
      <c r="W197" s="1169"/>
      <c r="X197" s="553"/>
      <c r="Y197" s="1169"/>
      <c r="Z197" s="1169"/>
      <c r="AA197" s="1169"/>
      <c r="AB197" s="1169"/>
      <c r="AC197" s="1169"/>
      <c r="AD197" s="1641"/>
      <c r="AE197" s="575"/>
      <c r="AF197" s="575"/>
      <c r="AG197" s="575"/>
      <c r="AH197" s="575"/>
      <c r="AI197" s="1650">
        <v>11</v>
      </c>
    </row>
    <row s="1650" customFormat="1" customHeight="1" ht="11.549999999999999">
      <c r="A198" s="996"/>
      <c r="B198" s="1645"/>
      <c r="C198" s="1645"/>
      <c r="D198" s="360"/>
      <c r="J198" s="1650"/>
      <c r="K198" s="1650"/>
      <c r="L198" s="1650"/>
      <c r="N198" s="1169"/>
      <c r="O198" s="1645"/>
      <c r="P198" s="1645"/>
      <c r="Q198" s="1169"/>
      <c r="R198" s="1169"/>
      <c r="S198" s="1169"/>
      <c r="T198" s="1169"/>
      <c r="U198" s="1645"/>
      <c r="V198" s="1169"/>
      <c r="W198" s="1169"/>
      <c r="X198" s="553"/>
      <c r="Y198" s="1169"/>
      <c r="Z198" s="1169"/>
      <c r="AA198" s="1169"/>
      <c r="AB198" s="1169"/>
      <c r="AC198" s="1169"/>
      <c r="AD198" s="1641"/>
      <c r="AE198" s="575"/>
      <c r="AF198" s="575"/>
      <c r="AG198" s="575"/>
      <c r="AH198" s="575"/>
      <c r="AI198" s="1650">
        <v>11</v>
      </c>
    </row>
    <row s="1650" customFormat="1" customHeight="1" ht="11.549999999999999">
      <c r="A199" s="996"/>
      <c r="B199" s="1645"/>
      <c r="C199" s="1645"/>
      <c r="D199" s="360"/>
      <c r="J199" s="1650"/>
      <c r="K199" s="1650"/>
      <c r="L199" s="1650"/>
      <c r="N199" s="1169"/>
      <c r="O199" s="1645"/>
      <c r="P199" s="1645"/>
      <c r="Q199" s="1169"/>
      <c r="R199" s="1169"/>
      <c r="S199" s="1169"/>
      <c r="T199" s="1169"/>
      <c r="U199" s="1645"/>
      <c r="V199" s="1169"/>
      <c r="W199" s="1169"/>
      <c r="X199" s="553"/>
      <c r="Y199" s="1169"/>
      <c r="Z199" s="1169"/>
      <c r="AA199" s="1169"/>
      <c r="AB199" s="1169"/>
      <c r="AC199" s="1169"/>
      <c r="AD199" s="1641"/>
      <c r="AE199" s="575"/>
      <c r="AF199" s="575"/>
      <c r="AG199" s="575"/>
      <c r="AH199" s="575"/>
      <c r="AI199" s="1650">
        <v>11</v>
      </c>
    </row>
    <row s="1650" customFormat="1" customHeight="1" ht="11.549999999999999">
      <c r="A200" s="996"/>
      <c r="B200" s="1645"/>
      <c r="C200" s="1645"/>
      <c r="D200" s="360"/>
      <c r="J200" s="1650"/>
      <c r="K200" s="1650"/>
      <c r="L200" s="1650"/>
      <c r="N200" s="1169"/>
      <c r="O200" s="1645"/>
      <c r="P200" s="1645"/>
      <c r="Q200" s="1169"/>
      <c r="R200" s="1169"/>
      <c r="S200" s="1169"/>
      <c r="T200" s="1169"/>
      <c r="U200" s="1645"/>
      <c r="V200" s="1169"/>
      <c r="W200" s="1169"/>
      <c r="X200" s="553"/>
      <c r="Y200" s="1169"/>
      <c r="Z200" s="1169"/>
      <c r="AA200" s="1169"/>
      <c r="AB200" s="1169"/>
      <c r="AC200" s="1169"/>
      <c r="AD200" s="1641"/>
      <c r="AE200" s="575"/>
      <c r="AF200" s="575"/>
      <c r="AG200" s="575"/>
      <c r="AH200" s="575"/>
      <c r="AI200" s="1650">
        <v>11</v>
      </c>
    </row>
    <row s="1650" customFormat="1" customHeight="1" ht="11.549999999999999">
      <c r="A201" s="996"/>
      <c r="B201" s="1645"/>
      <c r="C201" s="1645"/>
      <c r="D201" s="360"/>
      <c r="J201" s="1650"/>
      <c r="K201" s="1650"/>
      <c r="L201" s="1650"/>
      <c r="N201" s="1169"/>
      <c r="O201" s="1645"/>
      <c r="P201" s="1645"/>
      <c r="Q201" s="1169"/>
      <c r="R201" s="1169"/>
      <c r="S201" s="1169"/>
      <c r="T201" s="1169"/>
      <c r="U201" s="1645"/>
      <c r="V201" s="1169"/>
      <c r="W201" s="1169"/>
      <c r="X201" s="553"/>
      <c r="Y201" s="1169"/>
      <c r="Z201" s="1169"/>
      <c r="AA201" s="1169"/>
      <c r="AB201" s="1169"/>
      <c r="AC201" s="1169"/>
      <c r="AD201" s="1641"/>
      <c r="AE201" s="575"/>
      <c r="AF201" s="575"/>
      <c r="AG201" s="575"/>
      <c r="AH201" s="575"/>
      <c r="AI201" s="1650">
        <v>11</v>
      </c>
    </row>
    <row s="1650" customFormat="1" customHeight="1" ht="11.549999999999999">
      <c r="A202" s="996"/>
      <c r="B202" s="1645"/>
      <c r="C202" s="1645"/>
      <c r="D202" s="360"/>
      <c r="J202" s="1650"/>
      <c r="K202" s="1650"/>
      <c r="L202" s="1650"/>
      <c r="N202" s="1169"/>
      <c r="O202" s="1645"/>
      <c r="P202" s="1645"/>
      <c r="Q202" s="1169"/>
      <c r="R202" s="1169"/>
      <c r="S202" s="1169"/>
      <c r="T202" s="1169"/>
      <c r="U202" s="1645"/>
      <c r="V202" s="1169"/>
      <c r="W202" s="1169"/>
      <c r="X202" s="553"/>
      <c r="Y202" s="1169"/>
      <c r="Z202" s="1169"/>
      <c r="AA202" s="1169"/>
      <c r="AB202" s="1169"/>
      <c r="AC202" s="1169"/>
      <c r="AD202" s="1641"/>
      <c r="AE202" s="575"/>
      <c r="AF202" s="575"/>
      <c r="AG202" s="575"/>
      <c r="AH202" s="575"/>
      <c r="AI202" s="1650">
        <v>11</v>
      </c>
    </row>
    <row s="1650" customFormat="1" customHeight="1" ht="11.549999999999999">
      <c r="A203" s="996"/>
      <c r="B203" s="1645"/>
      <c r="C203" s="1645"/>
      <c r="D203" s="360"/>
      <c r="J203" s="1650"/>
      <c r="K203" s="1650"/>
      <c r="L203" s="1650"/>
      <c r="N203" s="1169"/>
      <c r="O203" s="1645"/>
      <c r="P203" s="1645"/>
      <c r="Q203" s="1169"/>
      <c r="R203" s="1169"/>
      <c r="S203" s="1169"/>
      <c r="T203" s="1169"/>
      <c r="U203" s="1645"/>
      <c r="V203" s="1169"/>
      <c r="W203" s="1169"/>
      <c r="X203" s="553"/>
      <c r="Y203" s="1169"/>
      <c r="Z203" s="1169"/>
      <c r="AA203" s="1169"/>
      <c r="AB203" s="1169"/>
      <c r="AC203" s="1169"/>
      <c r="AD203" s="1641"/>
      <c r="AE203" s="575"/>
      <c r="AF203" s="575"/>
      <c r="AG203" s="575"/>
      <c r="AH203" s="575"/>
      <c r="AI203" s="1650">
        <v>11</v>
      </c>
    </row>
    <row s="1650" customFormat="1" customHeight="1" ht="11.549999999999999">
      <c r="A204" s="996"/>
      <c r="B204" s="1645"/>
      <c r="C204" s="1645"/>
      <c r="D204" s="360"/>
      <c r="J204" s="1650"/>
      <c r="K204" s="1650"/>
      <c r="L204" s="1650"/>
      <c r="N204" s="1169"/>
      <c r="O204" s="1645"/>
      <c r="P204" s="1645"/>
      <c r="Q204" s="1169"/>
      <c r="R204" s="1169"/>
      <c r="S204" s="1169"/>
      <c r="T204" s="1169"/>
      <c r="U204" s="1645"/>
      <c r="V204" s="1169"/>
      <c r="W204" s="1169"/>
      <c r="X204" s="553"/>
      <c r="Y204" s="1169"/>
      <c r="Z204" s="1169"/>
      <c r="AA204" s="1169"/>
      <c r="AB204" s="1169"/>
      <c r="AC204" s="1169"/>
      <c r="AD204" s="1641"/>
      <c r="AE204" s="575"/>
      <c r="AF204" s="575"/>
      <c r="AG204" s="575"/>
      <c r="AH204" s="575"/>
      <c r="AI204" s="1650">
        <v>11</v>
      </c>
    </row>
    <row customHeight="1" ht="11.549999999999999">
      <c r="J205" s="1644"/>
      <c r="K205" s="1644"/>
      <c r="L205" s="1644"/>
      <c r="AI205" s="1640">
        <v>11</v>
      </c>
    </row>
    <row customHeight="1" ht="11.549999999999999">
      <c r="J206" s="1644"/>
      <c r="K206" s="1644"/>
      <c r="L206" s="1644"/>
      <c r="AI206" s="1640">
        <v>11</v>
      </c>
    </row>
    <row customHeight="1" ht="11.549999999999999">
      <c r="J207" s="1644"/>
      <c r="K207" s="1644"/>
      <c r="L207" s="1644"/>
      <c r="AI207" s="1640">
        <v>11</v>
      </c>
    </row>
    <row customHeight="1" ht="11.549999999999999">
      <c r="A208" s="999"/>
      <c r="B208" s="1640"/>
      <c r="D208" s="1640"/>
      <c r="J208" s="1644"/>
      <c r="K208" s="1644"/>
      <c r="L208" s="1644"/>
      <c r="N208" s="1640"/>
      <c r="Q208" s="1640"/>
      <c r="R208" s="1640"/>
      <c r="S208" s="1640"/>
      <c r="T208" s="1640"/>
      <c r="V208" s="1640"/>
      <c r="W208" s="1640"/>
      <c r="X208" s="1640"/>
      <c r="Y208" s="1640"/>
      <c r="Z208" s="1640"/>
      <c r="AA208" s="1640"/>
      <c r="AB208" s="1640"/>
      <c r="AC208" s="1640"/>
      <c r="AD208" s="1640"/>
      <c r="AE208" s="1640"/>
      <c r="AF208" s="1640"/>
      <c r="AG208" s="1640"/>
      <c r="AH208" s="1640"/>
      <c r="AI208" s="1640">
        <v>11</v>
      </c>
    </row>
    <row customHeight="1" ht="11.549999999999999">
      <c r="A209" s="999"/>
      <c r="B209" s="1640"/>
      <c r="D209" s="1640"/>
      <c r="J209" s="1644"/>
      <c r="K209" s="1644"/>
      <c r="L209" s="1644"/>
      <c r="N209" s="1640"/>
      <c r="Q209" s="1640"/>
      <c r="R209" s="1640"/>
      <c r="S209" s="1640"/>
      <c r="T209" s="1640"/>
      <c r="V209" s="1640"/>
      <c r="W209" s="1640"/>
      <c r="X209" s="1640"/>
      <c r="Y209" s="1640"/>
      <c r="Z209" s="1640"/>
      <c r="AA209" s="1640"/>
      <c r="AB209" s="1640"/>
      <c r="AC209" s="1640"/>
      <c r="AD209" s="1640"/>
      <c r="AE209" s="1640"/>
      <c r="AF209" s="1640"/>
      <c r="AG209" s="1640"/>
      <c r="AH209" s="1640"/>
      <c r="AI209" s="1640">
        <v>11</v>
      </c>
    </row>
    <row customHeight="1" ht="11.549999999999999">
      <c r="A210" s="999"/>
      <c r="B210" s="1640"/>
      <c r="D210" s="1640"/>
      <c r="J210" s="1644"/>
      <c r="K210" s="1644"/>
      <c r="L210" s="1644"/>
      <c r="N210" s="1640"/>
      <c r="Q210" s="1640"/>
      <c r="R210" s="1640"/>
      <c r="S210" s="1640"/>
      <c r="T210" s="1640"/>
      <c r="V210" s="1640"/>
      <c r="W210" s="1640"/>
      <c r="X210" s="1640"/>
      <c r="Y210" s="1640"/>
      <c r="Z210" s="1640"/>
      <c r="AA210" s="1640"/>
      <c r="AB210" s="1640"/>
      <c r="AC210" s="1640"/>
      <c r="AD210" s="1640"/>
      <c r="AE210" s="1640"/>
      <c r="AF210" s="1640"/>
      <c r="AG210" s="1640"/>
      <c r="AH210" s="1640"/>
      <c r="AI210" s="1640">
        <v>11</v>
      </c>
    </row>
    <row customHeight="1" ht="11.549999999999999">
      <c r="A211" s="999"/>
      <c r="B211" s="1640"/>
      <c r="D211" s="1640"/>
      <c r="J211" s="1644"/>
      <c r="K211" s="1644"/>
      <c r="L211" s="1644"/>
      <c r="N211" s="1640"/>
      <c r="Q211" s="1640"/>
      <c r="R211" s="1640"/>
      <c r="S211" s="1640"/>
      <c r="T211" s="1640"/>
      <c r="V211" s="1640"/>
      <c r="W211" s="1640"/>
      <c r="X211" s="1640"/>
      <c r="Y211" s="1640"/>
      <c r="Z211" s="1640"/>
      <c r="AA211" s="1640"/>
      <c r="AB211" s="1640"/>
      <c r="AC211" s="1640"/>
      <c r="AD211" s="1640"/>
      <c r="AE211" s="1640"/>
      <c r="AF211" s="1640"/>
      <c r="AG211" s="1640"/>
      <c r="AH211" s="1640"/>
      <c r="AI211" s="1640">
        <v>11</v>
      </c>
    </row>
    <row customHeight="1" ht="11.549999999999999">
      <c r="A212" s="999"/>
      <c r="B212" s="1640"/>
      <c r="D212" s="1640"/>
      <c r="J212" s="1644"/>
      <c r="K212" s="1644"/>
      <c r="L212" s="1644"/>
      <c r="N212" s="1640"/>
      <c r="Q212" s="1640"/>
      <c r="R212" s="1640"/>
      <c r="S212" s="1640"/>
      <c r="T212" s="1640"/>
      <c r="V212" s="1640"/>
      <c r="W212" s="1640"/>
      <c r="X212" s="1640"/>
      <c r="Y212" s="1640"/>
      <c r="Z212" s="1640"/>
      <c r="AA212" s="1640"/>
      <c r="AB212" s="1640"/>
      <c r="AC212" s="1640"/>
      <c r="AD212" s="1640"/>
      <c r="AE212" s="1640"/>
      <c r="AF212" s="1640"/>
      <c r="AG212" s="1640"/>
      <c r="AH212" s="1640"/>
      <c r="AI212" s="1640">
        <v>11</v>
      </c>
    </row>
    <row customHeight="1" ht="11.549999999999999">
      <c r="A213" s="999"/>
      <c r="B213" s="1640"/>
      <c r="D213" s="1640"/>
      <c r="J213" s="1644"/>
      <c r="K213" s="1644"/>
      <c r="L213" s="1644"/>
      <c r="N213" s="1640"/>
      <c r="Q213" s="1640"/>
      <c r="R213" s="1640"/>
      <c r="S213" s="1640"/>
      <c r="T213" s="1640"/>
      <c r="V213" s="1640"/>
      <c r="W213" s="1640"/>
      <c r="X213" s="1640"/>
      <c r="Y213" s="1640"/>
      <c r="Z213" s="1640"/>
      <c r="AA213" s="1640"/>
      <c r="AB213" s="1640"/>
      <c r="AC213" s="1640"/>
      <c r="AD213" s="1640"/>
      <c r="AE213" s="1640"/>
      <c r="AF213" s="1640"/>
      <c r="AG213" s="1640"/>
      <c r="AH213" s="1640"/>
      <c r="AI213" s="1640">
        <v>11</v>
      </c>
    </row>
    <row customHeight="1" ht="11.549999999999999">
      <c r="A214" s="999"/>
      <c r="B214" s="1640"/>
      <c r="D214" s="1640"/>
      <c r="J214" s="1644"/>
      <c r="K214" s="1644"/>
      <c r="L214" s="1644"/>
      <c r="N214" s="1640"/>
      <c r="Q214" s="1640"/>
      <c r="R214" s="1640"/>
      <c r="S214" s="1640"/>
      <c r="T214" s="1640"/>
      <c r="V214" s="1640"/>
      <c r="W214" s="1640"/>
      <c r="X214" s="1640"/>
      <c r="Y214" s="1640"/>
      <c r="Z214" s="1640"/>
      <c r="AA214" s="1640"/>
      <c r="AB214" s="1640"/>
      <c r="AC214" s="1640"/>
      <c r="AD214" s="1640"/>
      <c r="AE214" s="1640"/>
      <c r="AF214" s="1640"/>
      <c r="AG214" s="1640"/>
      <c r="AH214" s="1640"/>
      <c r="AI214" s="1640">
        <v>11</v>
      </c>
    </row>
    <row customHeight="1" ht="11.549999999999999">
      <c r="A215" s="999"/>
      <c r="B215" s="1640"/>
      <c r="D215" s="1640"/>
      <c r="J215" s="1644"/>
      <c r="K215" s="1644"/>
      <c r="L215" s="1644"/>
      <c r="N215" s="1640"/>
      <c r="Q215" s="1640"/>
      <c r="R215" s="1640"/>
      <c r="S215" s="1640"/>
      <c r="T215" s="1640"/>
      <c r="V215" s="1640"/>
      <c r="W215" s="1640"/>
      <c r="X215" s="1640"/>
      <c r="Y215" s="1640"/>
      <c r="Z215" s="1640"/>
      <c r="AA215" s="1640"/>
      <c r="AB215" s="1640"/>
      <c r="AC215" s="1640"/>
      <c r="AD215" s="1640"/>
      <c r="AE215" s="1640"/>
      <c r="AF215" s="1640"/>
      <c r="AG215" s="1640"/>
      <c r="AH215" s="1640"/>
      <c r="AI215" s="1640">
        <v>11</v>
      </c>
    </row>
    <row customHeight="1" ht="11.549999999999999">
      <c r="A216" s="999"/>
      <c r="B216" s="1640"/>
      <c r="D216" s="1640"/>
      <c r="J216" s="1644"/>
      <c r="K216" s="1644"/>
      <c r="L216" s="1644"/>
      <c r="N216" s="1640"/>
      <c r="Q216" s="1640"/>
      <c r="R216" s="1640"/>
      <c r="S216" s="1640"/>
      <c r="T216" s="1640"/>
      <c r="V216" s="1640"/>
      <c r="W216" s="1640"/>
      <c r="X216" s="1640"/>
      <c r="Y216" s="1640"/>
      <c r="Z216" s="1640"/>
      <c r="AA216" s="1640"/>
      <c r="AB216" s="1640"/>
      <c r="AC216" s="1640"/>
      <c r="AD216" s="1640"/>
      <c r="AE216" s="1640"/>
      <c r="AF216" s="1640"/>
      <c r="AG216" s="1640"/>
      <c r="AH216" s="1640"/>
      <c r="AI216" s="1640">
        <v>11</v>
      </c>
    </row>
    <row customHeight="1" ht="11.549999999999999">
      <c r="A217" s="999"/>
      <c r="B217" s="1640"/>
      <c r="D217" s="1640"/>
      <c r="J217" s="1644"/>
      <c r="K217" s="1644"/>
      <c r="L217" s="1644"/>
      <c r="N217" s="1640"/>
      <c r="Q217" s="1640"/>
      <c r="R217" s="1640"/>
      <c r="S217" s="1640"/>
      <c r="T217" s="1640"/>
      <c r="V217" s="1640"/>
      <c r="W217" s="1640"/>
      <c r="X217" s="1640"/>
      <c r="Y217" s="1640"/>
      <c r="Z217" s="1640"/>
      <c r="AA217" s="1640"/>
      <c r="AB217" s="1640"/>
      <c r="AC217" s="1640"/>
      <c r="AD217" s="1640"/>
      <c r="AE217" s="1640"/>
      <c r="AF217" s="1640"/>
      <c r="AG217" s="1640"/>
      <c r="AH217" s="1640"/>
      <c r="AI217" s="1640">
        <v>11</v>
      </c>
    </row>
    <row customHeight="1" ht="11.549999999999999">
      <c r="A218" s="999"/>
      <c r="B218" s="1640"/>
      <c r="D218" s="1640"/>
      <c r="J218" s="1644"/>
      <c r="K218" s="1644"/>
      <c r="L218" s="1644"/>
      <c r="N218" s="1640"/>
      <c r="Q218" s="1640"/>
      <c r="R218" s="1640"/>
      <c r="S218" s="1640"/>
      <c r="T218" s="1640"/>
      <c r="V218" s="1640"/>
      <c r="W218" s="1640"/>
      <c r="X218" s="1640"/>
      <c r="Y218" s="1640"/>
      <c r="Z218" s="1640"/>
      <c r="AA218" s="1640"/>
      <c r="AB218" s="1640"/>
      <c r="AC218" s="1640"/>
      <c r="AD218" s="1640"/>
      <c r="AE218" s="1640"/>
      <c r="AF218" s="1640"/>
      <c r="AG218" s="1640"/>
      <c r="AH218" s="1640"/>
      <c r="AI218" s="1640">
        <v>11</v>
      </c>
    </row>
    <row customHeight="1" ht="11.25" hidden="1">
      <c r="A219" s="996" t="s">
        <v>83</v>
      </c>
      <c r="B219" s="1169">
        <v>0</v>
      </c>
      <c r="C219" s="1645">
        <v>0</v>
      </c>
      <c r="D219" s="1644">
        <v>3</v>
      </c>
      <c r="E219" s="1640">
        <v>7</v>
      </c>
      <c r="F219" s="1640">
        <v>56</v>
      </c>
      <c r="G219" s="1640">
        <v>10</v>
      </c>
      <c r="H219" s="1640">
        <v>0</v>
      </c>
      <c r="I219" s="1640">
        <v>40</v>
      </c>
      <c r="J219" s="1644">
        <v>0</v>
      </c>
      <c r="K219" s="1644">
        <v>0</v>
      </c>
      <c r="L219" s="1644">
        <v>0</v>
      </c>
      <c r="M219" s="1640">
        <v>102</v>
      </c>
      <c r="N219" s="1169">
        <v>9</v>
      </c>
      <c r="O219" s="1645">
        <v>5</v>
      </c>
      <c r="P219" s="1645">
        <v>3</v>
      </c>
      <c r="Q219" s="1169">
        <v>3</v>
      </c>
      <c r="R219" s="1169">
        <v>3</v>
      </c>
      <c r="S219" s="1169">
        <v>3</v>
      </c>
      <c r="T219" s="1169">
        <v>3</v>
      </c>
      <c r="U219" s="1645">
        <v>10</v>
      </c>
      <c r="V219" s="1169">
        <v>34</v>
      </c>
      <c r="W219" s="1169">
        <v>9</v>
      </c>
      <c r="X219" s="553">
        <v>8</v>
      </c>
      <c r="Y219" s="1169">
        <v>8</v>
      </c>
      <c r="Z219" s="1169">
        <v>8</v>
      </c>
      <c r="AA219" s="1169">
        <v>8</v>
      </c>
      <c r="AB219" s="1169">
        <v>8</v>
      </c>
      <c r="AC219" s="1169">
        <v>8</v>
      </c>
      <c r="AD219" s="1641">
        <v>8</v>
      </c>
      <c r="AE219" s="1641">
        <v>8</v>
      </c>
      <c r="AF219" s="1641">
        <v>8</v>
      </c>
      <c r="AG219" s="1641">
        <v>8</v>
      </c>
      <c r="AH219" s="1641">
        <v>8</v>
      </c>
      <c r="AI219" s="1640">
        <v>11</v>
      </c>
    </row>
  </sheetData>
  <sheetProtection sheet="1" formatColumns="0" formatRows="0" autoFilter="0" sort="1" insertRows="1" insertColumns="1" deleteRows="1" deleteColumns="1"/>
  <mergeCells count="7">
    <mergeCell ref="E6:I6"/>
    <mergeCell ref="E7:I7"/>
    <mergeCell ref="F10:G10"/>
    <mergeCell ref="M10:M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L33">
      <formula1>900</formula1>
    </dataValidation>
    <dataValidation type="decimal" allowBlank="1" showErrorMessage="1" errorTitle="Ошибка" error="Допускается ввод только неотрицательных чисел!" sqref="H40:L41 H2:L2 H15:L15 H17:L32 H46:L48 H35:L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L45">
      <formula1>900</formula1>
    </dataValidation>
    <dataValidation type="decimal" allowBlank="1" showErrorMessage="1" errorTitle="Ошибка" error="Допускается ввод только действительных чисел!" sqref="H38:L39">
      <formula1>-9.99999999999999E+23</formula1>
      <formula2>9.99999999999999E+23</formula2>
    </dataValidation>
    <dataValidation type="decimal" allowBlank="1" showErrorMessage="1" errorTitle="Ошибка" error="Допускается ввод только действительных чисел!" sqref="H42:L44">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ACD613-D481-DFEA-8048-0.C02A0206}" mc:Ignorable="x14ac xr xr2 xr3">
  <sheetPr>
    <tabColor theme="9" tint="-0.25"/>
  </sheetPr>
  <dimension ref="A1:AI215"/>
  <sheetViews>
    <sheetView showGridLines="0" zoomScale="90" workbookViewId="0">
      <pane xSplit="8" ySplit="14" topLeftCell="L15" activePane="bottomRight" state="frozen"/>
      <selection pane="bottomLeft" activeCell="A15" sqref="A15"/>
      <selection pane="topRight" activeCell="I1" sqref="I1"/>
      <selection pane="bottomRight" activeCell="L9" sqref="L9"/>
    </sheetView>
  </sheetViews>
  <sheetFormatPr defaultColWidth="9.140625" customHeight="1" defaultRowHeight="11.25"/>
  <cols>
    <col min="1" max="1" style="996" width="10.7109375" hidden="1" customWidth="1"/>
    <col min="2" max="2" style="1375" width="16.8515625" hidden="1" customWidth="1"/>
    <col min="3" max="3" style="1651" width="5.57421875" hidden="1" customWidth="1"/>
    <col min="4" max="4" style="1644" width="3.00390625" customWidth="1"/>
    <col min="5" max="5" style="1644" width="7.00390625" customWidth="1"/>
    <col min="6" max="6" style="1644" width="54.00390625" customWidth="1"/>
    <col min="7" max="7" style="1644" width="10.00390625" customWidth="1"/>
    <col min="8" max="8" style="1644" width="40.7109375" hidden="1" customWidth="1"/>
    <col min="9" max="9" style="1644" width="40.00390625" customWidth="1"/>
    <col min="10" max="12" style="1644" width="40.7109375" customWidth="1"/>
    <col min="13" max="13" style="1644" width="102.00390625" customWidth="1"/>
    <col min="14" max="14" style="1375" width="9.00390625" customWidth="1"/>
    <col min="15" max="15" style="1651" width="5.00390625" customWidth="1"/>
    <col min="16" max="16" style="1651" width="3.00390625" customWidth="1"/>
    <col min="17" max="20" style="1375" width="3.00390625" customWidth="1"/>
    <col min="21" max="21" style="1651" width="10.00390625" customWidth="1"/>
    <col min="22" max="22" style="1375" width="34.00390625" customWidth="1"/>
    <col min="23" max="23" style="1375" width="9.00390625" customWidth="1"/>
    <col min="24" max="24" style="745" width="8.00390625" customWidth="1"/>
    <col min="25" max="29" style="1375" width="8.00390625" customWidth="1"/>
    <col min="30" max="34" style="1641" width="8.00390625" customWidth="1"/>
    <col min="35" max="35" style="1644" width="9.140625" hidden="1"/>
  </cols>
  <sheetData>
    <row s="1375" customFormat="1" customHeight="1" ht="22.5" hidden="1">
      <c r="A1" s="996"/>
      <c r="C1" s="1645"/>
      <c r="D1" s="546"/>
      <c r="H1" s="1169">
        <v>4</v>
      </c>
      <c r="I1" s="1169">
        <v>4</v>
      </c>
      <c r="J1" s="1375">
        <v>4</v>
      </c>
      <c r="K1" s="1375">
        <v>4</v>
      </c>
      <c r="L1" s="1375">
        <v>4</v>
      </c>
      <c r="O1" s="1645"/>
      <c r="P1" s="1645"/>
      <c r="U1" s="1645"/>
      <c r="AI1" s="1169" t="s">
        <v>14</v>
      </c>
    </row>
    <row s="1375" customFormat="1" customHeight="1" ht="22.5" hidden="1">
      <c r="A2" s="996"/>
      <c r="C2" s="1645"/>
      <c r="D2" s="547"/>
      <c r="E2" s="1667"/>
      <c r="F2" s="549"/>
      <c r="G2" s="1666" t="s">
        <v>565</v>
      </c>
      <c r="H2" s="550"/>
      <c r="I2" s="550"/>
      <c r="J2" s="760"/>
      <c r="K2" s="760"/>
      <c r="L2" s="760"/>
      <c r="M2" s="551" t="s">
        <v>568</v>
      </c>
      <c r="N2" s="552"/>
      <c r="O2" s="1645"/>
      <c r="P2" s="1645"/>
      <c r="U2" s="1645"/>
      <c r="X2" s="553"/>
      <c r="AD2" s="1641"/>
      <c r="AE2" s="1641"/>
      <c r="AF2" s="1641"/>
      <c r="AG2" s="1641"/>
      <c r="AH2" s="1641"/>
      <c r="AI2" s="1169">
        <v>0</v>
      </c>
    </row>
    <row customHeight="1" ht="11.25" hidden="1">
      <c r="J3" s="1644"/>
      <c r="K3" s="1644"/>
      <c r="L3" s="1644"/>
      <c r="AI3" s="1640">
        <v>0</v>
      </c>
    </row>
    <row s="1641" customFormat="1" customHeight="1" ht="11.25" hidden="1">
      <c r="A4" s="996"/>
      <c r="B4" s="1169"/>
      <c r="C4" s="1645"/>
      <c r="D4" s="371"/>
      <c r="J4" s="1641"/>
      <c r="K4" s="1641"/>
      <c r="L4" s="1641"/>
      <c r="M4" s="1641">
        <v>4</v>
      </c>
      <c r="N4" s="1169"/>
      <c r="O4" s="1645"/>
      <c r="P4" s="1645"/>
      <c r="Q4" s="1169"/>
      <c r="R4" s="1169"/>
      <c r="S4" s="1169"/>
      <c r="T4" s="1169"/>
      <c r="U4" s="1645"/>
      <c r="V4" s="1169"/>
      <c r="W4" s="1169"/>
      <c r="X4" s="553"/>
      <c r="Y4" s="1169"/>
      <c r="Z4" s="1169"/>
      <c r="AA4" s="1169"/>
      <c r="AB4" s="1169"/>
      <c r="AC4" s="1169"/>
      <c r="AI4" s="1641">
        <v>0</v>
      </c>
    </row>
    <row customHeight="1" ht="11.549999999999999">
      <c r="J5" s="1644"/>
      <c r="K5" s="1644"/>
      <c r="L5" s="1644"/>
      <c r="AI5" s="1640">
        <v>11</v>
      </c>
    </row>
    <row customHeight="1" ht="33.75">
      <c r="E6" s="2276" t="s">
        <v>803</v>
      </c>
      <c r="F6" s="2276"/>
      <c r="G6" s="2276"/>
      <c r="H6" s="2276"/>
      <c r="I6" s="2276"/>
      <c r="J6" s="2276"/>
      <c r="K6" s="2276"/>
      <c r="L6" s="2276"/>
      <c r="M6" s="565"/>
      <c r="AI6" s="1640">
        <v>32</v>
      </c>
    </row>
    <row customHeight="1" ht="25.2">
      <c r="E7" s="2277" t="str">
        <f>IF(org=0,"Не определено",org)</f>
        <v>АО "ДГК"</v>
      </c>
      <c r="F7" s="2277"/>
      <c r="G7" s="2277"/>
      <c r="H7" s="2277"/>
      <c r="I7" s="2277"/>
      <c r="J7" s="2277"/>
      <c r="K7" s="2277"/>
      <c r="L7" s="2277"/>
      <c r="AI7" s="1640">
        <v>24</v>
      </c>
    </row>
    <row customHeight="1" ht="11.549999999999999">
      <c r="E8" s="1144"/>
      <c r="F8" s="1144"/>
      <c r="G8" s="1144"/>
      <c r="H8" s="1144"/>
      <c r="I8" s="1144"/>
      <c r="J8" s="1145" t="s">
        <v>22</v>
      </c>
      <c r="K8" s="1145" t="s">
        <v>22</v>
      </c>
      <c r="L8" s="1145" t="s">
        <v>22</v>
      </c>
      <c r="AI8" s="1640">
        <v>11</v>
      </c>
    </row>
    <row s="1651" customFormat="1" customHeight="1" ht="1.05">
      <c r="A9" s="1176"/>
      <c r="D9" s="1651"/>
      <c r="H9" s="898"/>
      <c r="I9" s="898" t="s">
        <v>126</v>
      </c>
      <c r="J9" s="898" t="s">
        <v>131</v>
      </c>
      <c r="K9" s="898" t="s">
        <v>134</v>
      </c>
      <c r="L9" s="898" t="s">
        <v>136</v>
      </c>
      <c r="AI9" s="1645">
        <v>1</v>
      </c>
    </row>
    <row customHeight="1" ht="11.549999999999999">
      <c r="E10" s="720"/>
      <c r="F10" s="2395" t="s">
        <v>114</v>
      </c>
      <c r="G10" s="2396"/>
      <c r="H10" s="1668" t="str">
        <f>IF(H9="","",INDEX(DIFFERENTIATION_UNMERGE_VD,MATCH(H9,DIFFERENTIATION_ID_DIFF,0)))</f>
        <v/>
      </c>
      <c r="I10" s="1668" t="str">
        <f>IF(I9="","",INDEX(DIFFERENTIATION_UNMERGE_VD,MATCH(I9,DIFFERENTIATION_ID_DIFF,0)))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10" s="2421" t="str">
        <f>IF(J9="","",INDEX(DIFFERENTIATION_UNMERGE_VD,MATCH(J9,DIFFERENTIATION_ID_DIFF,0)))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10" s="2421" t="str">
        <f>IF(K9="","",INDEX(DIFFERENTIATION_UNMERGE_VD,MATCH(K9,DIFFERENTIATION_ID_DIFF,0)))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10" s="2421" t="str">
        <f>IF(L9="","",INDEX(DIFFERENTIATION_UNMERGE_VD,MATCH(L9,DIFFERENTIATION_ID_DIFF,0)))</f>
        <v>Подключение (технологическое присоединение) к системе теплоснабжения</v>
      </c>
      <c r="M10" s="2155" t="s">
        <v>316</v>
      </c>
      <c r="AI10" s="1640">
        <v>11</v>
      </c>
    </row>
    <row customHeight="1" ht="11.549999999999999">
      <c r="E11" s="720"/>
      <c r="F11" s="2395" t="s">
        <v>577</v>
      </c>
      <c r="G11" s="2396"/>
      <c r="H11" s="1668" t="str">
        <f>IF(H9="","",INDEX(DIFFERENTIATION_UNMERGE_AREA,MATCH(H9,DIFFERENTIATION_ID_DIFF,0)))</f>
        <v/>
      </c>
      <c r="I11" s="1668" t="str">
        <f>IF(I9="","",INDEX(DIFFERENTIATION_UNMERGE_AREA,MATCH(I9,DIFFERENTIATION_ID_DIFF,0)))</f>
        <v>Территория 1</v>
      </c>
      <c r="J11" s="2421" t="str">
        <f>IF(J9="","",INDEX(DIFFERENTIATION_UNMERGE_AREA,MATCH(J9,DIFFERENTIATION_ID_DIFF,0)))</f>
        <v>Территория 3</v>
      </c>
      <c r="K11" s="2421" t="str">
        <f>IF(K9="","",INDEX(DIFFERENTIATION_UNMERGE_AREA,MATCH(K9,DIFFERENTIATION_ID_DIFF,0)))</f>
        <v>Территория 2</v>
      </c>
      <c r="L11" s="2421" t="str">
        <f>IF(L9="","",INDEX(DIFFERENTIATION_UNMERGE_AREA,MATCH(L9,DIFFERENTIATION_ID_DIFF,0)))</f>
        <v>без дифференциации</v>
      </c>
      <c r="M11" s="2155"/>
      <c r="AI11" s="1640">
        <v>11</v>
      </c>
    </row>
    <row customHeight="1" ht="11.25" hidden="1">
      <c r="E12" s="1671"/>
      <c r="F12" s="2418" t="s">
        <v>578</v>
      </c>
      <c r="G12" s="2419"/>
      <c r="H12" s="1672" t="str">
        <f>IF(H9="","",INDEX(DIFFERENTIATION_UNMERGE_SYSTEM,MATCH(H9,DIFFERENTIATION_ID_DIFF,0)))</f>
        <v/>
      </c>
      <c r="I12" s="1672" t="str">
        <f>IF(I9="","",INDEX(DIFFERENTIATION_UNMERGE_SYSTEM,MATCH(I9,DIFFERENTIATION_ID_DIFF,0)))</f>
        <v>Артемовская ТЭЦ, ТС г. Артем</v>
      </c>
      <c r="J12" s="1672" t="str">
        <f>IF(J9="","",INDEX(DIFFERENTIATION_UNMERGE_SYSTEM,MATCH(J9,DIFFERENTIATION_ID_DIFF,0)))</f>
        <v>Партизанская ГРЭС, ТС г. Партизанск</v>
      </c>
      <c r="K12" s="1672" t="str">
        <f>IF(K9="","",INDEX(DIFFERENTIATION_UNMERGE_SYSTEM,MATCH(K9,DIFFERENTIATION_ID_DIFF,0)))</f>
        <v>Восточная ТЭЦ, котельные г. Владивосток, ТС г. Владивосток</v>
      </c>
      <c r="L12" s="1672" t="str">
        <f>IF(L9="","",INDEX(DIFFERENTIATION_UNMERGE_SYSTEM,MATCH(L9,DIFFERENTIATION_ID_DIFF,0)))</f>
        <v>без дифференциации</v>
      </c>
      <c r="M12" s="2155"/>
      <c r="AI12" s="1640">
        <v>0</v>
      </c>
    </row>
    <row customHeight="1" ht="11.549999999999999">
      <c r="E13" s="2397" t="s">
        <v>315</v>
      </c>
      <c r="F13" s="2398"/>
      <c r="G13" s="2398"/>
      <c r="H13" s="1665"/>
      <c r="I13" s="1665"/>
      <c r="J13" s="2395"/>
      <c r="K13" s="2395"/>
      <c r="L13" s="2395"/>
      <c r="M13" s="2155"/>
      <c r="AI13" s="1640">
        <v>11</v>
      </c>
    </row>
    <row customHeight="1" ht="24">
      <c r="E14" s="1666" t="s">
        <v>89</v>
      </c>
      <c r="F14" s="1669" t="s">
        <v>317</v>
      </c>
      <c r="G14" s="1669" t="s">
        <v>579</v>
      </c>
      <c r="H14" s="1669" t="s">
        <v>318</v>
      </c>
      <c r="I14" s="1669" t="s">
        <v>318</v>
      </c>
      <c r="J14" s="2340" t="s">
        <v>318</v>
      </c>
      <c r="K14" s="2340" t="s">
        <v>318</v>
      </c>
      <c r="L14" s="2340" t="s">
        <v>318</v>
      </c>
      <c r="M14" s="2155"/>
      <c r="AI14" s="1640">
        <v>23</v>
      </c>
    </row>
    <row customHeight="1" ht="19.95">
      <c r="D15" s="1647"/>
      <c r="E15" s="1639" t="s">
        <v>118</v>
      </c>
      <c r="F15" s="716" t="s">
        <v>804</v>
      </c>
      <c r="G15" s="1666" t="s">
        <v>565</v>
      </c>
      <c r="H15" s="566"/>
      <c r="I15" s="566"/>
      <c r="J15" s="566"/>
      <c r="K15" s="566"/>
      <c r="L15" s="566"/>
      <c r="M15" s="298" t="s">
        <v>805</v>
      </c>
      <c r="N15" s="552" t="s">
        <v>653</v>
      </c>
      <c r="AI15" s="1640">
        <v>19</v>
      </c>
    </row>
    <row customHeight="1" ht="24">
      <c r="D16" s="1647"/>
      <c r="E16" s="1639" t="s">
        <v>103</v>
      </c>
      <c r="F16" s="2093" t="s">
        <v>806</v>
      </c>
      <c r="G16" s="1666" t="s">
        <v>565</v>
      </c>
      <c r="H16" s="567">
        <f>SUM(H17,H20:H27)</f>
        <v>0</v>
      </c>
      <c r="I16" s="567">
        <f>SUM(I17,I20:I27)</f>
        <v>0</v>
      </c>
      <c r="J16" s="567">
        <f>SUM(J17,J20:J27)</f>
        <v>0</v>
      </c>
      <c r="K16" s="567">
        <f>SUM(K17,K20:K27)</f>
        <v>0</v>
      </c>
      <c r="L16" s="567">
        <f>SUM(L17,L20:L27)</f>
        <v>0</v>
      </c>
      <c r="M16" s="2090" t="s">
        <v>807</v>
      </c>
      <c r="N16" s="552" t="s">
        <v>653</v>
      </c>
      <c r="AI16" s="1640">
        <v>23</v>
      </c>
    </row>
    <row customHeight="1" ht="35.699999999999996">
      <c r="D17" s="1647"/>
      <c r="E17" s="1673" t="s">
        <v>731</v>
      </c>
      <c r="F17" s="1675" t="s">
        <v>808</v>
      </c>
      <c r="G17" s="1663" t="s">
        <v>565</v>
      </c>
      <c r="H17" s="566"/>
      <c r="I17" s="566"/>
      <c r="J17" s="566"/>
      <c r="K17" s="566"/>
      <c r="L17" s="566"/>
      <c r="M17" s="298" t="s">
        <v>809</v>
      </c>
      <c r="N17" s="552"/>
      <c r="AI17" s="1640">
        <v>34</v>
      </c>
    </row>
    <row customHeight="1" ht="19.95">
      <c r="D18" s="1647"/>
      <c r="E18" s="1673" t="s">
        <v>734</v>
      </c>
      <c r="F18" s="1676" t="s">
        <v>810</v>
      </c>
      <c r="G18" s="1663" t="s">
        <v>565</v>
      </c>
      <c r="H18" s="566"/>
      <c r="I18" s="566"/>
      <c r="J18" s="566"/>
      <c r="K18" s="566"/>
      <c r="L18" s="566"/>
      <c r="M18" s="298"/>
      <c r="N18" s="552"/>
      <c r="AI18" s="1640">
        <v>19</v>
      </c>
    </row>
    <row customHeight="1" ht="24">
      <c r="D19" s="1647"/>
      <c r="E19" s="1673" t="s">
        <v>737</v>
      </c>
      <c r="F19" s="1676" t="s">
        <v>811</v>
      </c>
      <c r="G19" s="1663" t="s">
        <v>565</v>
      </c>
      <c r="H19" s="566"/>
      <c r="I19" s="566"/>
      <c r="J19" s="566"/>
      <c r="K19" s="566"/>
      <c r="L19" s="566"/>
      <c r="M19" s="298"/>
      <c r="N19" s="552"/>
      <c r="AI19" s="1640">
        <v>23</v>
      </c>
    </row>
    <row customHeight="1" ht="35.699999999999996">
      <c r="D20" s="1647"/>
      <c r="E20" s="1673" t="s">
        <v>322</v>
      </c>
      <c r="F20" s="1675" t="s">
        <v>812</v>
      </c>
      <c r="G20" s="1663" t="s">
        <v>565</v>
      </c>
      <c r="H20" s="566"/>
      <c r="I20" s="566"/>
      <c r="J20" s="566"/>
      <c r="K20" s="566"/>
      <c r="L20" s="566"/>
      <c r="M20" s="298"/>
      <c r="N20" s="552"/>
      <c r="AI20" s="1640">
        <v>34</v>
      </c>
    </row>
    <row customHeight="1" ht="48.29999999999999">
      <c r="D21" s="1647"/>
      <c r="E21" s="1673" t="s">
        <v>325</v>
      </c>
      <c r="F21" s="1675" t="s">
        <v>813</v>
      </c>
      <c r="G21" s="1663" t="s">
        <v>565</v>
      </c>
      <c r="H21" s="566"/>
      <c r="I21" s="566"/>
      <c r="J21" s="566"/>
      <c r="K21" s="566"/>
      <c r="L21" s="566"/>
      <c r="M21" s="298"/>
      <c r="N21" s="552"/>
      <c r="AI21" s="1640">
        <v>46</v>
      </c>
    </row>
    <row customHeight="1" ht="60">
      <c r="D22" s="1647"/>
      <c r="E22" s="1673" t="s">
        <v>751</v>
      </c>
      <c r="F22" s="1675" t="s">
        <v>814</v>
      </c>
      <c r="G22" s="1663" t="s">
        <v>565</v>
      </c>
      <c r="H22" s="566"/>
      <c r="I22" s="566"/>
      <c r="J22" s="566"/>
      <c r="K22" s="566"/>
      <c r="L22" s="566"/>
      <c r="M22" s="298"/>
      <c r="N22" s="552"/>
      <c r="AI22" s="1640">
        <v>57</v>
      </c>
    </row>
    <row customHeight="1" ht="35.699999999999996">
      <c r="D23" s="1647"/>
      <c r="E23" s="1673" t="s">
        <v>758</v>
      </c>
      <c r="F23" s="1675" t="s">
        <v>815</v>
      </c>
      <c r="G23" s="1663" t="s">
        <v>565</v>
      </c>
      <c r="H23" s="566"/>
      <c r="I23" s="566"/>
      <c r="J23" s="566"/>
      <c r="K23" s="566"/>
      <c r="L23" s="566"/>
      <c r="M23" s="298"/>
      <c r="N23" s="552"/>
      <c r="AI23" s="1640">
        <v>34</v>
      </c>
    </row>
    <row customHeight="1" ht="35.699999999999996">
      <c r="D24" s="1647"/>
      <c r="E24" s="1673" t="s">
        <v>760</v>
      </c>
      <c r="F24" s="1675" t="s">
        <v>816</v>
      </c>
      <c r="G24" s="1663" t="s">
        <v>565</v>
      </c>
      <c r="H24" s="566"/>
      <c r="I24" s="566"/>
      <c r="J24" s="566"/>
      <c r="K24" s="566"/>
      <c r="L24" s="566"/>
      <c r="M24" s="298"/>
      <c r="N24" s="552"/>
      <c r="AI24" s="1640">
        <v>34</v>
      </c>
    </row>
    <row customHeight="1" ht="24">
      <c r="D25" s="1647"/>
      <c r="E25" s="1673" t="s">
        <v>762</v>
      </c>
      <c r="F25" s="1675" t="s">
        <v>817</v>
      </c>
      <c r="G25" s="1663" t="s">
        <v>565</v>
      </c>
      <c r="H25" s="566"/>
      <c r="I25" s="566"/>
      <c r="J25" s="566"/>
      <c r="K25" s="566"/>
      <c r="L25" s="566"/>
      <c r="M25" s="298"/>
      <c r="N25" s="552"/>
      <c r="AI25" s="1640">
        <v>23</v>
      </c>
    </row>
    <row customHeight="1" ht="76.5">
      <c r="D26" s="1647"/>
      <c r="E26" s="1673" t="s">
        <v>764</v>
      </c>
      <c r="F26" s="1675" t="s">
        <v>818</v>
      </c>
      <c r="G26" s="1663" t="s">
        <v>565</v>
      </c>
      <c r="H26" s="566"/>
      <c r="I26" s="566"/>
      <c r="J26" s="566"/>
      <c r="K26" s="566"/>
      <c r="L26" s="566"/>
      <c r="M26" s="298"/>
      <c r="N26" s="552"/>
      <c r="AI26" s="1640">
        <v>73</v>
      </c>
    </row>
    <row s="1375" customFormat="1" customHeight="1" ht="35.699999999999996">
      <c r="A27" s="996"/>
      <c r="C27" s="1645"/>
      <c r="D27" s="1647"/>
      <c r="E27" s="1638" t="s">
        <v>768</v>
      </c>
      <c r="F27" s="1637" t="s">
        <v>819</v>
      </c>
      <c r="G27" s="1664" t="s">
        <v>565</v>
      </c>
      <c r="H27" s="588">
        <f>SUM(H28:H29)</f>
        <v>0</v>
      </c>
      <c r="I27" s="588">
        <f>SUM(I28:I29)</f>
        <v>0</v>
      </c>
      <c r="J27" s="588">
        <f>SUM(J28:J29)</f>
        <v>0</v>
      </c>
      <c r="K27" s="588">
        <f>SUM(K28:K29)</f>
        <v>0</v>
      </c>
      <c r="L27" s="588">
        <f>SUM(L28:L29)</f>
        <v>0</v>
      </c>
      <c r="M27" s="298" t="s">
        <v>766</v>
      </c>
      <c r="N27" s="552"/>
      <c r="O27" s="1645"/>
      <c r="P27" s="1645"/>
      <c r="U27" s="1645"/>
      <c r="X27" s="553"/>
      <c r="AD27" s="1641"/>
      <c r="AE27" s="1641"/>
      <c r="AF27" s="1641"/>
      <c r="AG27" s="1641"/>
      <c r="AH27" s="1641"/>
      <c r="AI27" s="1169">
        <v>34</v>
      </c>
    </row>
    <row s="1651" customFormat="1" customHeight="1" ht="1.05">
      <c r="A28" s="1176"/>
      <c r="D28" s="557"/>
      <c r="E28" s="811" t="str">
        <f>E27&amp;".0"</f>
        <v>2.9.0</v>
      </c>
      <c r="F28" s="1000"/>
      <c r="G28" s="560"/>
      <c r="H28" s="1001"/>
      <c r="I28" s="1001"/>
      <c r="J28" s="1001"/>
      <c r="K28" s="1001"/>
      <c r="L28" s="1001"/>
      <c r="M28" s="1002"/>
      <c r="AI28" s="1645">
        <v>1</v>
      </c>
    </row>
    <row s="1375" customFormat="1" customHeight="1" ht="19.95">
      <c r="A29" s="996"/>
      <c r="C29" s="1645"/>
      <c r="D29" s="1642"/>
      <c r="E29" s="579"/>
      <c r="F29" s="1674" t="s">
        <v>596</v>
      </c>
      <c r="G29" s="581"/>
      <c r="H29" s="582"/>
      <c r="I29" s="582"/>
      <c r="J29" s="2691"/>
      <c r="K29" s="2692"/>
      <c r="L29" s="2693"/>
      <c r="M29" s="310" t="s">
        <v>767</v>
      </c>
      <c r="N29" s="552"/>
      <c r="O29" s="1645"/>
      <c r="P29" s="1645"/>
      <c r="U29" s="1645"/>
      <c r="X29" s="553"/>
      <c r="AD29" s="1641"/>
      <c r="AE29" s="1641"/>
      <c r="AF29" s="1641"/>
      <c r="AG29" s="1641"/>
      <c r="AH29" s="1641"/>
      <c r="AI29" s="1169">
        <v>19</v>
      </c>
    </row>
    <row customHeight="1" ht="76.5">
      <c r="B30" s="1375"/>
      <c r="D30" s="2084"/>
      <c r="E30" s="1673" t="s">
        <v>820</v>
      </c>
      <c r="F30" s="2092" t="s">
        <v>775</v>
      </c>
      <c r="G30" s="2083" t="s">
        <v>565</v>
      </c>
      <c r="H30" s="566"/>
      <c r="I30" s="566"/>
      <c r="J30" s="566"/>
      <c r="K30" s="566"/>
      <c r="L30" s="566"/>
      <c r="M30" s="2090" t="s">
        <v>821</v>
      </c>
      <c r="N30" s="552"/>
      <c r="Q30" s="1375"/>
      <c r="R30" s="1375"/>
      <c r="S30" s="1375"/>
      <c r="T30" s="1375"/>
      <c r="V30" s="1375"/>
      <c r="W30" s="1375"/>
      <c r="Y30" s="1375"/>
      <c r="Z30" s="1375"/>
      <c r="AA30" s="1375"/>
      <c r="AB30" s="1375"/>
      <c r="AC30" s="1375"/>
      <c r="AI30" s="1640">
        <v>73</v>
      </c>
    </row>
    <row s="1375" customFormat="1" customHeight="1" ht="24">
      <c r="A31" s="996"/>
      <c r="C31" s="1645"/>
      <c r="D31" s="1647"/>
      <c r="E31" s="1673" t="s">
        <v>91</v>
      </c>
      <c r="F31" s="1670" t="s">
        <v>822</v>
      </c>
      <c r="G31" s="1663" t="s">
        <v>565</v>
      </c>
      <c r="H31" s="566"/>
      <c r="I31" s="566"/>
      <c r="J31" s="566"/>
      <c r="K31" s="566"/>
      <c r="L31" s="566"/>
      <c r="M31" s="298"/>
      <c r="N31" s="552"/>
      <c r="O31" s="1645"/>
      <c r="P31" s="1645"/>
      <c r="U31" s="1645"/>
      <c r="X31" s="553"/>
      <c r="AD31" s="1641"/>
      <c r="AE31" s="1641"/>
      <c r="AF31" s="1641"/>
      <c r="AG31" s="1641"/>
      <c r="AH31" s="1641"/>
      <c r="AI31" s="1169">
        <v>23</v>
      </c>
    </row>
    <row s="1375" customFormat="1" customHeight="1" ht="35.699999999999996">
      <c r="A32" s="996"/>
      <c r="C32" s="1645"/>
      <c r="D32" s="584"/>
      <c r="E32" s="1673" t="s">
        <v>92</v>
      </c>
      <c r="F32" s="1670" t="s">
        <v>823</v>
      </c>
      <c r="G32" s="1663" t="s">
        <v>565</v>
      </c>
      <c r="H32" s="566"/>
      <c r="I32" s="566"/>
      <c r="J32" s="566"/>
      <c r="K32" s="566"/>
      <c r="L32" s="566"/>
      <c r="M32" s="298" t="s">
        <v>824</v>
      </c>
      <c r="N32" s="552"/>
      <c r="O32" s="1645"/>
      <c r="P32" s="1645"/>
      <c r="U32" s="1645"/>
      <c r="X32" s="553"/>
      <c r="AD32" s="1641"/>
      <c r="AE32" s="1641"/>
      <c r="AF32" s="1641"/>
      <c r="AG32" s="1641"/>
      <c r="AH32" s="1641"/>
      <c r="AI32" s="1169">
        <v>34</v>
      </c>
    </row>
    <row s="1375" customFormat="1" customHeight="1" ht="24">
      <c r="A33" s="996"/>
      <c r="C33" s="1645"/>
      <c r="D33" s="1647"/>
      <c r="E33" s="1673" t="s">
        <v>782</v>
      </c>
      <c r="F33" s="699" t="s">
        <v>786</v>
      </c>
      <c r="G33" s="1663" t="s">
        <v>565</v>
      </c>
      <c r="H33" s="566"/>
      <c r="I33" s="566"/>
      <c r="J33" s="566"/>
      <c r="K33" s="566"/>
      <c r="L33" s="566"/>
      <c r="M33" s="298" t="s">
        <v>825</v>
      </c>
      <c r="N33" s="552"/>
      <c r="O33" s="1645"/>
      <c r="P33" s="1645"/>
      <c r="U33" s="1645"/>
      <c r="X33" s="553"/>
      <c r="AD33" s="1641"/>
      <c r="AE33" s="1641"/>
      <c r="AF33" s="1641"/>
      <c r="AG33" s="1641"/>
      <c r="AH33" s="1641"/>
      <c r="AI33" s="1169">
        <v>23</v>
      </c>
    </row>
    <row s="1375" customFormat="1" customHeight="1" ht="24">
      <c r="A34" s="996"/>
      <c r="C34" s="1645"/>
      <c r="D34" s="1647"/>
      <c r="E34" s="1673" t="s">
        <v>826</v>
      </c>
      <c r="F34" s="699" t="s">
        <v>827</v>
      </c>
      <c r="G34" s="1663" t="s">
        <v>565</v>
      </c>
      <c r="H34" s="566"/>
      <c r="I34" s="566"/>
      <c r="J34" s="566"/>
      <c r="K34" s="566"/>
      <c r="L34" s="566"/>
      <c r="M34" s="298" t="s">
        <v>828</v>
      </c>
      <c r="N34" s="552"/>
      <c r="O34" s="1645"/>
      <c r="P34" s="1645"/>
      <c r="U34" s="1645"/>
      <c r="X34" s="553"/>
      <c r="AD34" s="1641"/>
      <c r="AE34" s="1641"/>
      <c r="AF34" s="1641"/>
      <c r="AG34" s="1641"/>
      <c r="AH34" s="1641"/>
      <c r="AI34" s="1169">
        <v>23</v>
      </c>
    </row>
    <row s="1375" customFormat="1" customHeight="1" ht="24">
      <c r="A35" s="996"/>
      <c r="C35" s="1645"/>
      <c r="D35" s="1647"/>
      <c r="E35" s="1673" t="s">
        <v>829</v>
      </c>
      <c r="F35" s="699" t="s">
        <v>792</v>
      </c>
      <c r="G35" s="1663" t="s">
        <v>565</v>
      </c>
      <c r="H35" s="566"/>
      <c r="I35" s="566"/>
      <c r="J35" s="566"/>
      <c r="K35" s="566"/>
      <c r="L35" s="566"/>
      <c r="M35" s="298" t="s">
        <v>830</v>
      </c>
      <c r="N35" s="552"/>
      <c r="O35" s="1645"/>
      <c r="P35" s="1645"/>
      <c r="U35" s="1645"/>
      <c r="X35" s="553"/>
      <c r="AD35" s="1641"/>
      <c r="AE35" s="1641"/>
      <c r="AF35" s="1641"/>
      <c r="AG35" s="1641"/>
      <c r="AH35" s="1641"/>
      <c r="AI35" s="1169">
        <v>23</v>
      </c>
    </row>
    <row s="1375" customFormat="1" customHeight="1" ht="35.699999999999996">
      <c r="A36" s="996"/>
      <c r="C36" s="1645" t="s">
        <v>599</v>
      </c>
      <c r="D36" s="1647"/>
      <c r="E36" s="1673" t="s">
        <v>119</v>
      </c>
      <c r="F36" s="1670" t="s">
        <v>652</v>
      </c>
      <c r="G36" s="1666" t="s">
        <v>321</v>
      </c>
      <c r="H36" s="410"/>
      <c r="I36" s="410"/>
      <c r="J36" s="827"/>
      <c r="K36" s="827"/>
      <c r="L36" s="827"/>
      <c r="M36" s="298" t="s">
        <v>831</v>
      </c>
      <c r="N36" s="552"/>
      <c r="O36" s="1645"/>
      <c r="P36" s="1645"/>
      <c r="U36" s="1645"/>
      <c r="X36" s="553"/>
      <c r="AD36" s="1641"/>
      <c r="AE36" s="1641"/>
      <c r="AF36" s="1641"/>
      <c r="AG36" s="1641"/>
      <c r="AH36" s="1641"/>
      <c r="AI36" s="1169">
        <v>34</v>
      </c>
    </row>
    <row s="1375" customFormat="1" customHeight="1" ht="35.699999999999996">
      <c r="A37" s="996"/>
      <c r="C37" s="1645"/>
      <c r="D37" s="1647"/>
      <c r="E37" s="1673" t="s">
        <v>93</v>
      </c>
      <c r="F37" s="1670" t="s">
        <v>832</v>
      </c>
      <c r="G37" s="1663" t="s">
        <v>797</v>
      </c>
      <c r="H37" s="2091"/>
      <c r="I37" s="2091"/>
      <c r="J37" s="2091"/>
      <c r="K37" s="2091"/>
      <c r="L37" s="2091"/>
      <c r="M37" s="298" t="s">
        <v>798</v>
      </c>
      <c r="N37" s="552"/>
      <c r="O37" s="1645"/>
      <c r="P37" s="1645"/>
      <c r="U37" s="1645"/>
      <c r="X37" s="553"/>
      <c r="AD37" s="1641"/>
      <c r="AE37" s="1641"/>
      <c r="AF37" s="1641"/>
      <c r="AG37" s="1641"/>
      <c r="AH37" s="1641"/>
      <c r="AI37" s="1169">
        <v>34</v>
      </c>
    </row>
    <row s="1375" customFormat="1" customHeight="1" ht="33.75">
      <c r="A38" s="996"/>
      <c r="C38" s="1645"/>
      <c r="D38" s="2084"/>
      <c r="E38" s="1673" t="s">
        <v>675</v>
      </c>
      <c r="F38" s="2092" t="s">
        <v>833</v>
      </c>
      <c r="G38" s="2083" t="s">
        <v>797</v>
      </c>
      <c r="H38" s="554"/>
      <c r="I38" s="554"/>
      <c r="J38" s="554"/>
      <c r="K38" s="554"/>
      <c r="L38" s="554"/>
      <c r="M38" s="2090" t="s">
        <v>834</v>
      </c>
      <c r="N38" s="552"/>
      <c r="O38" s="1645"/>
      <c r="P38" s="1645"/>
      <c r="U38" s="1645"/>
      <c r="X38" s="553"/>
      <c r="AD38" s="1641"/>
      <c r="AE38" s="1641"/>
      <c r="AF38" s="1641"/>
      <c r="AG38" s="1641"/>
      <c r="AH38" s="1641"/>
    </row>
    <row s="1375" customFormat="1" customHeight="1" ht="33.75">
      <c r="A39" s="996"/>
      <c r="C39" s="1645"/>
      <c r="D39" s="2084"/>
      <c r="E39" s="1673" t="s">
        <v>679</v>
      </c>
      <c r="F39" s="2092" t="s">
        <v>835</v>
      </c>
      <c r="G39" s="2083" t="s">
        <v>797</v>
      </c>
      <c r="H39" s="554"/>
      <c r="I39" s="554"/>
      <c r="J39" s="554"/>
      <c r="K39" s="554"/>
      <c r="L39" s="554"/>
      <c r="M39" s="2090" t="s">
        <v>836</v>
      </c>
      <c r="N39" s="552"/>
      <c r="O39" s="1645"/>
      <c r="P39" s="1645"/>
      <c r="U39" s="1645"/>
      <c r="X39" s="553"/>
      <c r="AD39" s="1641"/>
      <c r="AE39" s="1641"/>
      <c r="AF39" s="1641"/>
      <c r="AG39" s="1641"/>
      <c r="AH39" s="1641"/>
    </row>
    <row s="1375" customFormat="1" customHeight="1" ht="24">
      <c r="A40" s="996"/>
      <c r="C40" s="1645"/>
      <c r="D40" s="1647"/>
      <c r="E40" s="1673" t="s">
        <v>94</v>
      </c>
      <c r="F40" s="1670" t="s">
        <v>837</v>
      </c>
      <c r="G40" s="1663" t="s">
        <v>800</v>
      </c>
      <c r="H40" s="2091"/>
      <c r="I40" s="2091"/>
      <c r="J40" s="2091"/>
      <c r="K40" s="2091"/>
      <c r="L40" s="2091"/>
      <c r="M40" s="298" t="s">
        <v>801</v>
      </c>
      <c r="N40" s="552"/>
      <c r="O40" s="1645"/>
      <c r="P40" s="1645"/>
      <c r="U40" s="1645"/>
      <c r="X40" s="553"/>
      <c r="AD40" s="1641"/>
      <c r="AE40" s="1641"/>
      <c r="AF40" s="1641"/>
      <c r="AG40" s="1641"/>
      <c r="AH40" s="1641"/>
      <c r="AI40" s="1169">
        <v>23</v>
      </c>
    </row>
    <row s="1375" customFormat="1" customHeight="1" ht="24">
      <c r="A41" s="996"/>
      <c r="C41" s="1645"/>
      <c r="D41" s="2084"/>
      <c r="E41" s="1673" t="s">
        <v>838</v>
      </c>
      <c r="F41" s="2092" t="s">
        <v>839</v>
      </c>
      <c r="G41" s="2083" t="s">
        <v>800</v>
      </c>
      <c r="H41" s="554"/>
      <c r="I41" s="554"/>
      <c r="J41" s="554"/>
      <c r="K41" s="554"/>
      <c r="L41" s="554"/>
      <c r="M41" s="2090" t="s">
        <v>840</v>
      </c>
      <c r="N41" s="552"/>
      <c r="O41" s="1645"/>
      <c r="P41" s="1645"/>
      <c r="U41" s="1645"/>
      <c r="X41" s="553"/>
      <c r="AD41" s="1641"/>
      <c r="AE41" s="1641"/>
      <c r="AF41" s="1641"/>
      <c r="AG41" s="1641"/>
      <c r="AH41" s="1641"/>
      <c r="AI41" s="1375">
        <v>23</v>
      </c>
    </row>
    <row s="1375" customFormat="1" customHeight="1" ht="24">
      <c r="A42" s="996"/>
      <c r="C42" s="1645"/>
      <c r="D42" s="2084"/>
      <c r="E42" s="1673" t="s">
        <v>841</v>
      </c>
      <c r="F42" s="2092" t="s">
        <v>842</v>
      </c>
      <c r="G42" s="2083" t="s">
        <v>800</v>
      </c>
      <c r="H42" s="554"/>
      <c r="I42" s="554"/>
      <c r="J42" s="554"/>
      <c r="K42" s="554"/>
      <c r="L42" s="554"/>
      <c r="M42" s="2090" t="s">
        <v>843</v>
      </c>
      <c r="N42" s="552"/>
      <c r="O42" s="1645"/>
      <c r="P42" s="1645"/>
      <c r="U42" s="1645"/>
      <c r="X42" s="553"/>
      <c r="AD42" s="1641"/>
      <c r="AE42" s="1641"/>
      <c r="AF42" s="1641"/>
      <c r="AG42" s="1641"/>
      <c r="AH42" s="1641"/>
      <c r="AI42" s="1375">
        <v>23</v>
      </c>
    </row>
    <row customHeight="1" ht="11.549999999999999">
      <c r="D43" s="1647"/>
      <c r="J43" s="1644"/>
      <c r="K43" s="1644"/>
      <c r="L43" s="1644"/>
      <c r="AI43" s="1640">
        <v>11</v>
      </c>
    </row>
    <row customHeight="1" ht="27.299999999999997">
      <c r="D44" s="1647"/>
      <c r="E44" s="1262" t="s">
        <v>844</v>
      </c>
      <c r="F44" s="2313" t="s">
        <v>845</v>
      </c>
      <c r="G44" s="2313"/>
      <c r="H44" s="378"/>
      <c r="I44" s="378"/>
      <c r="J44" s="1695"/>
      <c r="K44" s="1695"/>
      <c r="L44" s="1695"/>
      <c r="M44" s="378"/>
      <c r="AI44" s="1640">
        <v>26</v>
      </c>
    </row>
    <row s="1650" customFormat="1" customHeight="1" ht="39.75">
      <c r="A45" s="996"/>
      <c r="B45" s="1645"/>
      <c r="C45" s="1645"/>
      <c r="D45" s="360"/>
      <c r="F45" s="2313" t="s">
        <v>846</v>
      </c>
      <c r="G45" s="2313"/>
      <c r="H45" s="378"/>
      <c r="I45" s="378"/>
      <c r="J45" s="1695"/>
      <c r="K45" s="1695"/>
      <c r="L45" s="1695"/>
      <c r="M45" s="378"/>
      <c r="N45" s="1169"/>
      <c r="O45" s="1645"/>
      <c r="P45" s="1645"/>
      <c r="Q45" s="1169"/>
      <c r="R45" s="1169"/>
      <c r="S45" s="1169"/>
      <c r="T45" s="1169"/>
      <c r="U45" s="1645"/>
      <c r="V45" s="1169"/>
      <c r="W45" s="1169"/>
      <c r="X45" s="553"/>
      <c r="Y45" s="1169"/>
      <c r="Z45" s="1169"/>
      <c r="AA45" s="1169"/>
      <c r="AB45" s="1169"/>
      <c r="AC45" s="1169"/>
      <c r="AD45" s="1641"/>
      <c r="AE45" s="575"/>
      <c r="AF45" s="575"/>
      <c r="AG45" s="575"/>
      <c r="AH45" s="575"/>
      <c r="AI45" s="1650">
        <v>38</v>
      </c>
    </row>
    <row s="1650" customFormat="1" customHeight="1" ht="11.549999999999999">
      <c r="A46" s="996"/>
      <c r="B46" s="1645"/>
      <c r="C46" s="1645"/>
      <c r="D46" s="360"/>
      <c r="J46" s="1650"/>
      <c r="K46" s="1650"/>
      <c r="L46" s="1650"/>
      <c r="N46" s="1169"/>
      <c r="O46" s="1645"/>
      <c r="P46" s="1645"/>
      <c r="Q46" s="1169"/>
      <c r="R46" s="1169"/>
      <c r="S46" s="1169"/>
      <c r="T46" s="1169"/>
      <c r="U46" s="1645"/>
      <c r="V46" s="1169"/>
      <c r="W46" s="1169"/>
      <c r="X46" s="553"/>
      <c r="Y46" s="1169"/>
      <c r="Z46" s="1169"/>
      <c r="AA46" s="1169"/>
      <c r="AB46" s="1169"/>
      <c r="AC46" s="1169"/>
      <c r="AD46" s="1641"/>
      <c r="AE46" s="575"/>
      <c r="AF46" s="575"/>
      <c r="AG46" s="575"/>
      <c r="AH46" s="575"/>
      <c r="AI46" s="1650">
        <v>11</v>
      </c>
    </row>
    <row s="1650" customFormat="1" customHeight="1" ht="11.549999999999999">
      <c r="A47" s="996"/>
      <c r="B47" s="1645"/>
      <c r="C47" s="1645"/>
      <c r="D47" s="360"/>
      <c r="J47" s="1650"/>
      <c r="K47" s="1650"/>
      <c r="L47" s="1650"/>
      <c r="N47" s="1169"/>
      <c r="O47" s="1645"/>
      <c r="P47" s="1645"/>
      <c r="Q47" s="1169"/>
      <c r="R47" s="1169"/>
      <c r="S47" s="1169"/>
      <c r="T47" s="1169"/>
      <c r="U47" s="1645"/>
      <c r="V47" s="1169"/>
      <c r="W47" s="1169"/>
      <c r="X47" s="553"/>
      <c r="Y47" s="1169"/>
      <c r="Z47" s="1169"/>
      <c r="AA47" s="1169"/>
      <c r="AB47" s="1169"/>
      <c r="AC47" s="1169"/>
      <c r="AD47" s="1641"/>
      <c r="AE47" s="575"/>
      <c r="AF47" s="575"/>
      <c r="AG47" s="575"/>
      <c r="AH47" s="575"/>
      <c r="AI47" s="1650">
        <v>11</v>
      </c>
    </row>
    <row s="1650" customFormat="1" customHeight="1" ht="11.549999999999999">
      <c r="A48" s="996"/>
      <c r="B48" s="1645"/>
      <c r="C48" s="1645"/>
      <c r="D48" s="360"/>
      <c r="H48" s="575"/>
      <c r="I48" s="575"/>
      <c r="J48" s="631"/>
      <c r="K48" s="631"/>
      <c r="L48" s="631"/>
      <c r="N48" s="1169"/>
      <c r="O48" s="1645"/>
      <c r="P48" s="1645"/>
      <c r="Q48" s="1169"/>
      <c r="R48" s="1169"/>
      <c r="S48" s="1169"/>
      <c r="T48" s="1169"/>
      <c r="U48" s="1645"/>
      <c r="V48" s="1169"/>
      <c r="W48" s="1169"/>
      <c r="X48" s="553"/>
      <c r="Y48" s="1169"/>
      <c r="Z48" s="1169"/>
      <c r="AA48" s="1169"/>
      <c r="AB48" s="1169"/>
      <c r="AC48" s="1169"/>
      <c r="AD48" s="1641"/>
      <c r="AE48" s="575"/>
      <c r="AF48" s="575"/>
      <c r="AG48" s="575"/>
      <c r="AH48" s="575"/>
      <c r="AI48" s="1650">
        <v>11</v>
      </c>
    </row>
    <row s="1650" customFormat="1" customHeight="1" ht="11.549999999999999">
      <c r="A49" s="996"/>
      <c r="B49" s="1645"/>
      <c r="C49" s="1645"/>
      <c r="D49" s="360"/>
      <c r="J49" s="1650"/>
      <c r="K49" s="1650"/>
      <c r="L49" s="1650"/>
      <c r="N49" s="1169"/>
      <c r="O49" s="1645"/>
      <c r="P49" s="1645"/>
      <c r="Q49" s="1169"/>
      <c r="R49" s="1169"/>
      <c r="S49" s="1169"/>
      <c r="T49" s="1169"/>
      <c r="U49" s="1645"/>
      <c r="V49" s="1169"/>
      <c r="W49" s="1169"/>
      <c r="X49" s="553"/>
      <c r="Y49" s="1169"/>
      <c r="Z49" s="1169"/>
      <c r="AA49" s="1169"/>
      <c r="AB49" s="1169"/>
      <c r="AC49" s="1169"/>
      <c r="AD49" s="1641"/>
      <c r="AE49" s="575"/>
      <c r="AF49" s="575"/>
      <c r="AG49" s="575"/>
      <c r="AH49" s="575"/>
      <c r="AI49" s="1650">
        <v>11</v>
      </c>
    </row>
    <row s="1650" customFormat="1" customHeight="1" ht="11.549999999999999">
      <c r="A50" s="996"/>
      <c r="B50" s="1645"/>
      <c r="C50" s="1645"/>
      <c r="D50" s="360"/>
      <c r="J50" s="1650"/>
      <c r="K50" s="1650"/>
      <c r="L50" s="1650"/>
      <c r="N50" s="1169"/>
      <c r="O50" s="1645"/>
      <c r="P50" s="1645"/>
      <c r="Q50" s="1169"/>
      <c r="R50" s="1169"/>
      <c r="S50" s="1169"/>
      <c r="T50" s="1169"/>
      <c r="U50" s="1645"/>
      <c r="V50" s="1169"/>
      <c r="W50" s="1169"/>
      <c r="X50" s="553"/>
      <c r="Y50" s="1169"/>
      <c r="Z50" s="1169"/>
      <c r="AA50" s="1169"/>
      <c r="AB50" s="1169"/>
      <c r="AC50" s="1169"/>
      <c r="AD50" s="1641"/>
      <c r="AE50" s="575"/>
      <c r="AF50" s="575"/>
      <c r="AG50" s="575"/>
      <c r="AH50" s="575"/>
      <c r="AI50" s="1650">
        <v>11</v>
      </c>
    </row>
    <row s="1650" customFormat="1" customHeight="1" ht="11.549999999999999">
      <c r="A51" s="996"/>
      <c r="B51" s="1645"/>
      <c r="C51" s="1645"/>
      <c r="D51" s="360"/>
      <c r="J51" s="1650"/>
      <c r="K51" s="1650"/>
      <c r="L51" s="1650"/>
      <c r="N51" s="1169"/>
      <c r="O51" s="1645"/>
      <c r="P51" s="1645"/>
      <c r="Q51" s="1169"/>
      <c r="R51" s="1169"/>
      <c r="S51" s="1169"/>
      <c r="T51" s="1169"/>
      <c r="U51" s="1645"/>
      <c r="V51" s="1169"/>
      <c r="W51" s="1169"/>
      <c r="X51" s="553"/>
      <c r="Y51" s="1169"/>
      <c r="Z51" s="1169"/>
      <c r="AA51" s="1169"/>
      <c r="AB51" s="1169"/>
      <c r="AC51" s="1169"/>
      <c r="AD51" s="1641"/>
      <c r="AE51" s="575"/>
      <c r="AF51" s="575"/>
      <c r="AG51" s="575"/>
      <c r="AH51" s="575"/>
      <c r="AI51" s="1650">
        <v>11</v>
      </c>
    </row>
    <row s="1650" customFormat="1" customHeight="1" ht="11.549999999999999">
      <c r="A52" s="996"/>
      <c r="B52" s="1645"/>
      <c r="C52" s="1645"/>
      <c r="D52" s="360"/>
      <c r="J52" s="1650"/>
      <c r="K52" s="1650"/>
      <c r="L52" s="1650"/>
      <c r="N52" s="1169"/>
      <c r="O52" s="1645"/>
      <c r="P52" s="1645"/>
      <c r="Q52" s="1169"/>
      <c r="R52" s="1169"/>
      <c r="S52" s="1169"/>
      <c r="T52" s="1169"/>
      <c r="U52" s="1645"/>
      <c r="V52" s="1169"/>
      <c r="W52" s="1169"/>
      <c r="X52" s="553"/>
      <c r="Y52" s="1169"/>
      <c r="Z52" s="1169"/>
      <c r="AA52" s="1169"/>
      <c r="AB52" s="1169"/>
      <c r="AC52" s="1169"/>
      <c r="AD52" s="1641"/>
      <c r="AE52" s="575"/>
      <c r="AF52" s="575"/>
      <c r="AG52" s="575"/>
      <c r="AH52" s="575"/>
      <c r="AI52" s="1650">
        <v>11</v>
      </c>
    </row>
    <row s="1650" customFormat="1" customHeight="1" ht="11.549999999999999">
      <c r="A53" s="996"/>
      <c r="B53" s="1645"/>
      <c r="C53" s="1645"/>
      <c r="D53" s="360"/>
      <c r="J53" s="1650"/>
      <c r="K53" s="1650"/>
      <c r="L53" s="1650"/>
      <c r="N53" s="1169"/>
      <c r="O53" s="1645"/>
      <c r="P53" s="1645"/>
      <c r="Q53" s="1169"/>
      <c r="R53" s="1169"/>
      <c r="S53" s="1169"/>
      <c r="T53" s="1169"/>
      <c r="U53" s="1645"/>
      <c r="V53" s="1169"/>
      <c r="W53" s="1169"/>
      <c r="X53" s="553"/>
      <c r="Y53" s="1169"/>
      <c r="Z53" s="1169"/>
      <c r="AA53" s="1169"/>
      <c r="AB53" s="1169"/>
      <c r="AC53" s="1169"/>
      <c r="AD53" s="1641"/>
      <c r="AE53" s="575"/>
      <c r="AF53" s="575"/>
      <c r="AG53" s="575"/>
      <c r="AH53" s="575"/>
      <c r="AI53" s="1650">
        <v>11</v>
      </c>
    </row>
    <row s="1650" customFormat="1" customHeight="1" ht="11.549999999999999">
      <c r="A54" s="996"/>
      <c r="B54" s="1645"/>
      <c r="C54" s="1645"/>
      <c r="D54" s="360"/>
      <c r="J54" s="1650"/>
      <c r="K54" s="1650"/>
      <c r="L54" s="1650"/>
      <c r="N54" s="1169"/>
      <c r="O54" s="1645"/>
      <c r="P54" s="1645"/>
      <c r="Q54" s="1169"/>
      <c r="R54" s="1169"/>
      <c r="S54" s="1169"/>
      <c r="T54" s="1169"/>
      <c r="U54" s="1645"/>
      <c r="V54" s="1169"/>
      <c r="W54" s="1169"/>
      <c r="X54" s="553"/>
      <c r="Y54" s="1169"/>
      <c r="Z54" s="1169"/>
      <c r="AA54" s="1169"/>
      <c r="AB54" s="1169"/>
      <c r="AC54" s="1169"/>
      <c r="AD54" s="1641"/>
      <c r="AE54" s="575"/>
      <c r="AF54" s="575"/>
      <c r="AG54" s="575"/>
      <c r="AH54" s="575"/>
      <c r="AI54" s="1650">
        <v>11</v>
      </c>
    </row>
    <row s="1650" customFormat="1" customHeight="1" ht="11.549999999999999">
      <c r="A55" s="996"/>
      <c r="B55" s="1645"/>
      <c r="C55" s="1645"/>
      <c r="D55" s="360"/>
      <c r="J55" s="1650"/>
      <c r="K55" s="1650"/>
      <c r="L55" s="1650"/>
      <c r="N55" s="1169"/>
      <c r="O55" s="1645"/>
      <c r="P55" s="1645"/>
      <c r="Q55" s="1169"/>
      <c r="R55" s="1169"/>
      <c r="S55" s="1169"/>
      <c r="T55" s="1169"/>
      <c r="U55" s="1645"/>
      <c r="V55" s="1169"/>
      <c r="W55" s="1169"/>
      <c r="X55" s="553"/>
      <c r="Y55" s="1169"/>
      <c r="Z55" s="1169"/>
      <c r="AA55" s="1169"/>
      <c r="AB55" s="1169"/>
      <c r="AC55" s="1169"/>
      <c r="AD55" s="1641"/>
      <c r="AE55" s="575"/>
      <c r="AF55" s="575"/>
      <c r="AG55" s="575"/>
      <c r="AH55" s="575"/>
      <c r="AI55" s="1650">
        <v>11</v>
      </c>
    </row>
    <row s="1650" customFormat="1" customHeight="1" ht="11.549999999999999">
      <c r="A56" s="996"/>
      <c r="B56" s="1645"/>
      <c r="C56" s="1645"/>
      <c r="D56" s="360"/>
      <c r="J56" s="1650"/>
      <c r="K56" s="1650"/>
      <c r="L56" s="1650"/>
      <c r="N56" s="1169"/>
      <c r="O56" s="1645"/>
      <c r="P56" s="1645"/>
      <c r="Q56" s="1169"/>
      <c r="R56" s="1169"/>
      <c r="S56" s="1169"/>
      <c r="T56" s="1169"/>
      <c r="U56" s="1645"/>
      <c r="V56" s="1169"/>
      <c r="W56" s="1169"/>
      <c r="X56" s="553"/>
      <c r="Y56" s="1169"/>
      <c r="Z56" s="1169"/>
      <c r="AA56" s="1169"/>
      <c r="AB56" s="1169"/>
      <c r="AC56" s="1169"/>
      <c r="AD56" s="1641"/>
      <c r="AE56" s="575"/>
      <c r="AF56" s="575"/>
      <c r="AG56" s="575"/>
      <c r="AH56" s="575"/>
      <c r="AI56" s="1650">
        <v>11</v>
      </c>
    </row>
    <row s="1650" customFormat="1" customHeight="1" ht="11.549999999999999">
      <c r="A57" s="996"/>
      <c r="B57" s="1645"/>
      <c r="C57" s="1645"/>
      <c r="D57" s="360"/>
      <c r="J57" s="1650"/>
      <c r="K57" s="1650"/>
      <c r="L57" s="1650"/>
      <c r="N57" s="1169"/>
      <c r="O57" s="1645"/>
      <c r="P57" s="1645"/>
      <c r="Q57" s="1169"/>
      <c r="R57" s="1169"/>
      <c r="S57" s="1169"/>
      <c r="T57" s="1169"/>
      <c r="U57" s="1645"/>
      <c r="V57" s="1169"/>
      <c r="W57" s="1169"/>
      <c r="X57" s="553"/>
      <c r="Y57" s="1169"/>
      <c r="Z57" s="1169"/>
      <c r="AA57" s="1169"/>
      <c r="AB57" s="1169"/>
      <c r="AC57" s="1169"/>
      <c r="AD57" s="1641"/>
      <c r="AE57" s="575"/>
      <c r="AF57" s="575"/>
      <c r="AG57" s="575"/>
      <c r="AH57" s="575"/>
      <c r="AI57" s="1650">
        <v>11</v>
      </c>
    </row>
    <row s="1650" customFormat="1" customHeight="1" ht="11.549999999999999">
      <c r="A58" s="996"/>
      <c r="B58" s="1645"/>
      <c r="C58" s="1645"/>
      <c r="D58" s="360"/>
      <c r="J58" s="1650"/>
      <c r="K58" s="1650"/>
      <c r="L58" s="1650"/>
      <c r="N58" s="1169"/>
      <c r="O58" s="1645"/>
      <c r="P58" s="1645"/>
      <c r="Q58" s="1169"/>
      <c r="R58" s="1169"/>
      <c r="S58" s="1169"/>
      <c r="T58" s="1169"/>
      <c r="U58" s="1645"/>
      <c r="V58" s="1169"/>
      <c r="W58" s="1169"/>
      <c r="X58" s="553"/>
      <c r="Y58" s="1169"/>
      <c r="Z58" s="1169"/>
      <c r="AA58" s="1169"/>
      <c r="AB58" s="1169"/>
      <c r="AC58" s="1169"/>
      <c r="AD58" s="1641"/>
      <c r="AE58" s="575"/>
      <c r="AF58" s="575"/>
      <c r="AG58" s="575"/>
      <c r="AH58" s="575"/>
      <c r="AI58" s="1650">
        <v>11</v>
      </c>
    </row>
    <row s="1650" customFormat="1" customHeight="1" ht="11.549999999999999">
      <c r="A59" s="996"/>
      <c r="B59" s="1645"/>
      <c r="C59" s="1645"/>
      <c r="D59" s="360"/>
      <c r="J59" s="1650"/>
      <c r="K59" s="1650"/>
      <c r="L59" s="1650"/>
      <c r="N59" s="1169"/>
      <c r="O59" s="1645"/>
      <c r="P59" s="1645"/>
      <c r="Q59" s="1169"/>
      <c r="R59" s="1169"/>
      <c r="S59" s="1169"/>
      <c r="T59" s="1169"/>
      <c r="U59" s="1645"/>
      <c r="V59" s="1169"/>
      <c r="W59" s="1169"/>
      <c r="X59" s="553"/>
      <c r="Y59" s="1169"/>
      <c r="Z59" s="1169"/>
      <c r="AA59" s="1169"/>
      <c r="AB59" s="1169"/>
      <c r="AC59" s="1169"/>
      <c r="AD59" s="1641"/>
      <c r="AE59" s="575"/>
      <c r="AF59" s="575"/>
      <c r="AG59" s="575"/>
      <c r="AH59" s="575"/>
      <c r="AI59" s="1650">
        <v>11</v>
      </c>
    </row>
    <row s="1650" customFormat="1" customHeight="1" ht="11.549999999999999">
      <c r="A60" s="996"/>
      <c r="B60" s="1645"/>
      <c r="C60" s="1645"/>
      <c r="D60" s="360"/>
      <c r="J60" s="1650"/>
      <c r="K60" s="1650"/>
      <c r="L60" s="1650"/>
      <c r="N60" s="1169"/>
      <c r="O60" s="1645"/>
      <c r="P60" s="1645"/>
      <c r="Q60" s="1169"/>
      <c r="R60" s="1169"/>
      <c r="S60" s="1169"/>
      <c r="T60" s="1169"/>
      <c r="U60" s="1645"/>
      <c r="V60" s="1169"/>
      <c r="W60" s="1169"/>
      <c r="X60" s="553"/>
      <c r="Y60" s="1169"/>
      <c r="Z60" s="1169"/>
      <c r="AA60" s="1169"/>
      <c r="AB60" s="1169"/>
      <c r="AC60" s="1169"/>
      <c r="AD60" s="1641"/>
      <c r="AE60" s="575"/>
      <c r="AF60" s="575"/>
      <c r="AG60" s="575"/>
      <c r="AH60" s="575"/>
      <c r="AI60" s="1650">
        <v>11</v>
      </c>
    </row>
    <row s="1650" customFormat="1" customHeight="1" ht="11.549999999999999">
      <c r="A61" s="996"/>
      <c r="B61" s="1645"/>
      <c r="C61" s="1645"/>
      <c r="D61" s="360"/>
      <c r="J61" s="1650"/>
      <c r="K61" s="1650"/>
      <c r="L61" s="1650"/>
      <c r="N61" s="1169"/>
      <c r="O61" s="1645"/>
      <c r="P61" s="1645"/>
      <c r="Q61" s="1169"/>
      <c r="R61" s="1169"/>
      <c r="S61" s="1169"/>
      <c r="T61" s="1169"/>
      <c r="U61" s="1645"/>
      <c r="V61" s="1169"/>
      <c r="W61" s="1169"/>
      <c r="X61" s="553"/>
      <c r="Y61" s="1169"/>
      <c r="Z61" s="1169"/>
      <c r="AA61" s="1169"/>
      <c r="AB61" s="1169"/>
      <c r="AC61" s="1169"/>
      <c r="AD61" s="1641"/>
      <c r="AE61" s="575"/>
      <c r="AF61" s="575"/>
      <c r="AG61" s="575"/>
      <c r="AH61" s="575"/>
      <c r="AI61" s="1650">
        <v>11</v>
      </c>
    </row>
    <row s="1650" customFormat="1" customHeight="1" ht="11.549999999999999">
      <c r="A62" s="996"/>
      <c r="B62" s="1645"/>
      <c r="C62" s="1645"/>
      <c r="D62" s="360"/>
      <c r="J62" s="1650"/>
      <c r="K62" s="1650"/>
      <c r="L62" s="1650"/>
      <c r="N62" s="1169"/>
      <c r="O62" s="1645"/>
      <c r="P62" s="1645"/>
      <c r="Q62" s="1169"/>
      <c r="R62" s="1169"/>
      <c r="S62" s="1169"/>
      <c r="T62" s="1169"/>
      <c r="U62" s="1645"/>
      <c r="V62" s="1169"/>
      <c r="W62" s="1169"/>
      <c r="X62" s="553"/>
      <c r="Y62" s="1169"/>
      <c r="Z62" s="1169"/>
      <c r="AA62" s="1169"/>
      <c r="AB62" s="1169"/>
      <c r="AC62" s="1169"/>
      <c r="AD62" s="1641"/>
      <c r="AE62" s="575"/>
      <c r="AF62" s="575"/>
      <c r="AG62" s="575"/>
      <c r="AH62" s="575"/>
      <c r="AI62" s="1650">
        <v>11</v>
      </c>
    </row>
    <row s="1650" customFormat="1" customHeight="1" ht="11.549999999999999">
      <c r="A63" s="996"/>
      <c r="B63" s="1645"/>
      <c r="C63" s="1645"/>
      <c r="D63" s="360"/>
      <c r="J63" s="1650"/>
      <c r="K63" s="1650"/>
      <c r="L63" s="1650"/>
      <c r="N63" s="1169"/>
      <c r="O63" s="1645"/>
      <c r="P63" s="1645"/>
      <c r="Q63" s="1169"/>
      <c r="R63" s="1169"/>
      <c r="S63" s="1169"/>
      <c r="T63" s="1169"/>
      <c r="U63" s="1645"/>
      <c r="V63" s="1169"/>
      <c r="W63" s="1169"/>
      <c r="X63" s="553"/>
      <c r="Y63" s="1169"/>
      <c r="Z63" s="1169"/>
      <c r="AA63" s="1169"/>
      <c r="AB63" s="1169"/>
      <c r="AC63" s="1169"/>
      <c r="AD63" s="1641"/>
      <c r="AE63" s="575"/>
      <c r="AF63" s="575"/>
      <c r="AG63" s="575"/>
      <c r="AH63" s="575"/>
      <c r="AI63" s="1650">
        <v>11</v>
      </c>
    </row>
    <row s="1650" customFormat="1" customHeight="1" ht="11.549999999999999">
      <c r="A64" s="996"/>
      <c r="B64" s="1645"/>
      <c r="C64" s="1645"/>
      <c r="D64" s="360"/>
      <c r="J64" s="1650"/>
      <c r="K64" s="1650"/>
      <c r="L64" s="1650"/>
      <c r="N64" s="1169"/>
      <c r="O64" s="1645"/>
      <c r="P64" s="1645"/>
      <c r="Q64" s="1169"/>
      <c r="R64" s="1169"/>
      <c r="S64" s="1169"/>
      <c r="T64" s="1169"/>
      <c r="U64" s="1645"/>
      <c r="V64" s="1169"/>
      <c r="W64" s="1169"/>
      <c r="X64" s="553"/>
      <c r="Y64" s="1169"/>
      <c r="Z64" s="1169"/>
      <c r="AA64" s="1169"/>
      <c r="AB64" s="1169"/>
      <c r="AC64" s="1169"/>
      <c r="AD64" s="1641"/>
      <c r="AE64" s="575"/>
      <c r="AF64" s="575"/>
      <c r="AG64" s="575"/>
      <c r="AH64" s="575"/>
      <c r="AI64" s="1650">
        <v>11</v>
      </c>
    </row>
    <row s="1650" customFormat="1" customHeight="1" ht="11.549999999999999">
      <c r="A65" s="996"/>
      <c r="B65" s="1645"/>
      <c r="C65" s="1645"/>
      <c r="D65" s="360"/>
      <c r="J65" s="1650"/>
      <c r="K65" s="1650"/>
      <c r="L65" s="1650"/>
      <c r="N65" s="1169"/>
      <c r="O65" s="1645"/>
      <c r="P65" s="1645"/>
      <c r="Q65" s="1169"/>
      <c r="R65" s="1169"/>
      <c r="S65" s="1169"/>
      <c r="T65" s="1169"/>
      <c r="U65" s="1645"/>
      <c r="V65" s="1169"/>
      <c r="W65" s="1169"/>
      <c r="X65" s="553"/>
      <c r="Y65" s="1169"/>
      <c r="Z65" s="1169"/>
      <c r="AA65" s="1169"/>
      <c r="AB65" s="1169"/>
      <c r="AC65" s="1169"/>
      <c r="AD65" s="1641"/>
      <c r="AE65" s="575"/>
      <c r="AF65" s="575"/>
      <c r="AG65" s="575"/>
      <c r="AH65" s="575"/>
      <c r="AI65" s="1650">
        <v>11</v>
      </c>
    </row>
    <row s="1650" customFormat="1" customHeight="1" ht="11.549999999999999">
      <c r="A66" s="996"/>
      <c r="B66" s="1645"/>
      <c r="C66" s="1645"/>
      <c r="D66" s="360"/>
      <c r="J66" s="1650"/>
      <c r="K66" s="1650"/>
      <c r="L66" s="1650"/>
      <c r="N66" s="1169"/>
      <c r="O66" s="1645"/>
      <c r="P66" s="1645"/>
      <c r="Q66" s="1169"/>
      <c r="R66" s="1169"/>
      <c r="S66" s="1169"/>
      <c r="T66" s="1169"/>
      <c r="U66" s="1645"/>
      <c r="V66" s="1169"/>
      <c r="W66" s="1169"/>
      <c r="X66" s="553"/>
      <c r="Y66" s="1169"/>
      <c r="Z66" s="1169"/>
      <c r="AA66" s="1169"/>
      <c r="AB66" s="1169"/>
      <c r="AC66" s="1169"/>
      <c r="AD66" s="1641"/>
      <c r="AE66" s="575"/>
      <c r="AF66" s="575"/>
      <c r="AG66" s="575"/>
      <c r="AH66" s="575"/>
      <c r="AI66" s="1650">
        <v>11</v>
      </c>
    </row>
    <row s="1650" customFormat="1" customHeight="1" ht="11.549999999999999">
      <c r="A67" s="996"/>
      <c r="B67" s="1645"/>
      <c r="C67" s="1645"/>
      <c r="D67" s="360"/>
      <c r="J67" s="1650"/>
      <c r="K67" s="1650"/>
      <c r="L67" s="1650"/>
      <c r="N67" s="1169"/>
      <c r="O67" s="1645"/>
      <c r="P67" s="1645"/>
      <c r="Q67" s="1169"/>
      <c r="R67" s="1169"/>
      <c r="S67" s="1169"/>
      <c r="T67" s="1169"/>
      <c r="U67" s="1645"/>
      <c r="V67" s="1169"/>
      <c r="W67" s="1169"/>
      <c r="X67" s="553"/>
      <c r="Y67" s="1169"/>
      <c r="Z67" s="1169"/>
      <c r="AA67" s="1169"/>
      <c r="AB67" s="1169"/>
      <c r="AC67" s="1169"/>
      <c r="AD67" s="1641"/>
      <c r="AE67" s="575"/>
      <c r="AF67" s="575"/>
      <c r="AG67" s="575"/>
      <c r="AH67" s="575"/>
      <c r="AI67" s="1650">
        <v>11</v>
      </c>
    </row>
    <row s="1650" customFormat="1" customHeight="1" ht="11.549999999999999">
      <c r="A68" s="996"/>
      <c r="B68" s="1645"/>
      <c r="C68" s="1645"/>
      <c r="D68" s="360"/>
      <c r="J68" s="1650"/>
      <c r="K68" s="1650"/>
      <c r="L68" s="1650"/>
      <c r="N68" s="1169"/>
      <c r="O68" s="1645"/>
      <c r="P68" s="1645"/>
      <c r="Q68" s="1169"/>
      <c r="R68" s="1169"/>
      <c r="S68" s="1169"/>
      <c r="T68" s="1169"/>
      <c r="U68" s="1645"/>
      <c r="V68" s="1169"/>
      <c r="W68" s="1169"/>
      <c r="X68" s="553"/>
      <c r="Y68" s="1169"/>
      <c r="Z68" s="1169"/>
      <c r="AA68" s="1169"/>
      <c r="AB68" s="1169"/>
      <c r="AC68" s="1169"/>
      <c r="AD68" s="1641"/>
      <c r="AE68" s="575"/>
      <c r="AF68" s="575"/>
      <c r="AG68" s="575"/>
      <c r="AH68" s="575"/>
      <c r="AI68" s="1650">
        <v>11</v>
      </c>
    </row>
    <row s="1650" customFormat="1" customHeight="1" ht="11.549999999999999">
      <c r="A69" s="996"/>
      <c r="B69" s="1645"/>
      <c r="C69" s="1645"/>
      <c r="D69" s="360"/>
      <c r="J69" s="1650"/>
      <c r="K69" s="1650"/>
      <c r="L69" s="1650"/>
      <c r="N69" s="1169"/>
      <c r="O69" s="1645"/>
      <c r="P69" s="1645"/>
      <c r="Q69" s="1169"/>
      <c r="R69" s="1169"/>
      <c r="S69" s="1169"/>
      <c r="T69" s="1169"/>
      <c r="U69" s="1645"/>
      <c r="V69" s="1169"/>
      <c r="W69" s="1169"/>
      <c r="X69" s="553"/>
      <c r="Y69" s="1169"/>
      <c r="Z69" s="1169"/>
      <c r="AA69" s="1169"/>
      <c r="AB69" s="1169"/>
      <c r="AC69" s="1169"/>
      <c r="AD69" s="1641"/>
      <c r="AE69" s="575"/>
      <c r="AF69" s="575"/>
      <c r="AG69" s="575"/>
      <c r="AH69" s="575"/>
      <c r="AI69" s="1650">
        <v>11</v>
      </c>
    </row>
    <row s="1650" customFormat="1" customHeight="1" ht="11.549999999999999">
      <c r="A70" s="996"/>
      <c r="B70" s="1645"/>
      <c r="C70" s="1645"/>
      <c r="D70" s="360"/>
      <c r="J70" s="1650"/>
      <c r="K70" s="1650"/>
      <c r="L70" s="1650"/>
      <c r="N70" s="1169"/>
      <c r="O70" s="1645"/>
      <c r="P70" s="1645"/>
      <c r="Q70" s="1169"/>
      <c r="R70" s="1169"/>
      <c r="S70" s="1169"/>
      <c r="T70" s="1169"/>
      <c r="U70" s="1645"/>
      <c r="V70" s="1169"/>
      <c r="W70" s="1169"/>
      <c r="X70" s="553"/>
      <c r="Y70" s="1169"/>
      <c r="Z70" s="1169"/>
      <c r="AA70" s="1169"/>
      <c r="AB70" s="1169"/>
      <c r="AC70" s="1169"/>
      <c r="AD70" s="1641"/>
      <c r="AE70" s="575"/>
      <c r="AF70" s="575"/>
      <c r="AG70" s="575"/>
      <c r="AH70" s="575"/>
      <c r="AI70" s="1650">
        <v>11</v>
      </c>
    </row>
    <row s="1650" customFormat="1" customHeight="1" ht="11.549999999999999">
      <c r="A71" s="996"/>
      <c r="B71" s="1645"/>
      <c r="C71" s="1645"/>
      <c r="D71" s="360"/>
      <c r="J71" s="1650"/>
      <c r="K71" s="1650"/>
      <c r="L71" s="1650"/>
      <c r="N71" s="1169"/>
      <c r="O71" s="1645"/>
      <c r="P71" s="1645"/>
      <c r="Q71" s="1169"/>
      <c r="R71" s="1169"/>
      <c r="S71" s="1169"/>
      <c r="T71" s="1169"/>
      <c r="U71" s="1645"/>
      <c r="V71" s="1169"/>
      <c r="W71" s="1169"/>
      <c r="X71" s="553"/>
      <c r="Y71" s="1169"/>
      <c r="Z71" s="1169"/>
      <c r="AA71" s="1169"/>
      <c r="AB71" s="1169"/>
      <c r="AC71" s="1169"/>
      <c r="AD71" s="1641"/>
      <c r="AE71" s="575"/>
      <c r="AF71" s="575"/>
      <c r="AG71" s="575"/>
      <c r="AH71" s="575"/>
      <c r="AI71" s="1650">
        <v>11</v>
      </c>
    </row>
    <row s="1650" customFormat="1" customHeight="1" ht="11.549999999999999">
      <c r="A72" s="996"/>
      <c r="B72" s="1645"/>
      <c r="C72" s="1645"/>
      <c r="D72" s="360"/>
      <c r="J72" s="1650"/>
      <c r="K72" s="1650"/>
      <c r="L72" s="1650"/>
      <c r="N72" s="1169"/>
      <c r="O72" s="1645"/>
      <c r="P72" s="1645"/>
      <c r="Q72" s="1169"/>
      <c r="R72" s="1169"/>
      <c r="S72" s="1169"/>
      <c r="T72" s="1169"/>
      <c r="U72" s="1645"/>
      <c r="V72" s="1169"/>
      <c r="W72" s="1169"/>
      <c r="X72" s="553"/>
      <c r="Y72" s="1169"/>
      <c r="Z72" s="1169"/>
      <c r="AA72" s="1169"/>
      <c r="AB72" s="1169"/>
      <c r="AC72" s="1169"/>
      <c r="AD72" s="1641"/>
      <c r="AE72" s="575"/>
      <c r="AF72" s="575"/>
      <c r="AG72" s="575"/>
      <c r="AH72" s="575"/>
      <c r="AI72" s="1650">
        <v>11</v>
      </c>
    </row>
    <row s="1650" customFormat="1" customHeight="1" ht="11.549999999999999">
      <c r="A73" s="996"/>
      <c r="B73" s="1645"/>
      <c r="C73" s="1645"/>
      <c r="D73" s="360"/>
      <c r="J73" s="1650"/>
      <c r="K73" s="1650"/>
      <c r="L73" s="1650"/>
      <c r="N73" s="1169"/>
      <c r="O73" s="1645"/>
      <c r="P73" s="1645"/>
      <c r="Q73" s="1169"/>
      <c r="R73" s="1169"/>
      <c r="S73" s="1169"/>
      <c r="T73" s="1169"/>
      <c r="U73" s="1645"/>
      <c r="V73" s="1169"/>
      <c r="W73" s="1169"/>
      <c r="X73" s="553"/>
      <c r="Y73" s="1169"/>
      <c r="Z73" s="1169"/>
      <c r="AA73" s="1169"/>
      <c r="AB73" s="1169"/>
      <c r="AC73" s="1169"/>
      <c r="AD73" s="1641"/>
      <c r="AE73" s="575"/>
      <c r="AF73" s="575"/>
      <c r="AG73" s="575"/>
      <c r="AH73" s="575"/>
      <c r="AI73" s="1650">
        <v>11</v>
      </c>
    </row>
    <row s="1650" customFormat="1" customHeight="1" ht="11.549999999999999">
      <c r="A74" s="996"/>
      <c r="B74" s="1645"/>
      <c r="C74" s="1645"/>
      <c r="D74" s="360"/>
      <c r="J74" s="1650"/>
      <c r="K74" s="1650"/>
      <c r="L74" s="1650"/>
      <c r="N74" s="1169"/>
      <c r="O74" s="1645"/>
      <c r="P74" s="1645"/>
      <c r="Q74" s="1169"/>
      <c r="R74" s="1169"/>
      <c r="S74" s="1169"/>
      <c r="T74" s="1169"/>
      <c r="U74" s="1645"/>
      <c r="V74" s="1169"/>
      <c r="W74" s="1169"/>
      <c r="X74" s="553"/>
      <c r="Y74" s="1169"/>
      <c r="Z74" s="1169"/>
      <c r="AA74" s="1169"/>
      <c r="AB74" s="1169"/>
      <c r="AC74" s="1169"/>
      <c r="AD74" s="1641"/>
      <c r="AE74" s="575"/>
      <c r="AF74" s="575"/>
      <c r="AG74" s="575"/>
      <c r="AH74" s="575"/>
      <c r="AI74" s="1650">
        <v>11</v>
      </c>
    </row>
    <row s="1650" customFormat="1" customHeight="1" ht="11.549999999999999">
      <c r="A75" s="996"/>
      <c r="B75" s="1645"/>
      <c r="C75" s="1645"/>
      <c r="D75" s="360"/>
      <c r="J75" s="1650"/>
      <c r="K75" s="1650"/>
      <c r="L75" s="1650"/>
      <c r="N75" s="1169"/>
      <c r="O75" s="1645"/>
      <c r="P75" s="1645"/>
      <c r="Q75" s="1169"/>
      <c r="R75" s="1169"/>
      <c r="S75" s="1169"/>
      <c r="T75" s="1169"/>
      <c r="U75" s="1645"/>
      <c r="V75" s="1169"/>
      <c r="W75" s="1169"/>
      <c r="X75" s="553"/>
      <c r="Y75" s="1169"/>
      <c r="Z75" s="1169"/>
      <c r="AA75" s="1169"/>
      <c r="AB75" s="1169"/>
      <c r="AC75" s="1169"/>
      <c r="AD75" s="1641"/>
      <c r="AE75" s="575"/>
      <c r="AF75" s="575"/>
      <c r="AG75" s="575"/>
      <c r="AH75" s="575"/>
      <c r="AI75" s="1650">
        <v>11</v>
      </c>
    </row>
    <row s="1650" customFormat="1" customHeight="1" ht="11.549999999999999">
      <c r="A76" s="996"/>
      <c r="B76" s="1645"/>
      <c r="C76" s="1645"/>
      <c r="D76" s="360"/>
      <c r="J76" s="1650"/>
      <c r="K76" s="1650"/>
      <c r="L76" s="1650"/>
      <c r="N76" s="1169"/>
      <c r="O76" s="1645"/>
      <c r="P76" s="1645"/>
      <c r="Q76" s="1169"/>
      <c r="R76" s="1169"/>
      <c r="S76" s="1169"/>
      <c r="T76" s="1169"/>
      <c r="U76" s="1645"/>
      <c r="V76" s="1169"/>
      <c r="W76" s="1169"/>
      <c r="X76" s="553"/>
      <c r="Y76" s="1169"/>
      <c r="Z76" s="1169"/>
      <c r="AA76" s="1169"/>
      <c r="AB76" s="1169"/>
      <c r="AC76" s="1169"/>
      <c r="AD76" s="1641"/>
      <c r="AE76" s="575"/>
      <c r="AF76" s="575"/>
      <c r="AG76" s="575"/>
      <c r="AH76" s="575"/>
      <c r="AI76" s="1650">
        <v>11</v>
      </c>
    </row>
    <row s="1650" customFormat="1" customHeight="1" ht="11.549999999999999">
      <c r="A77" s="996"/>
      <c r="B77" s="1645"/>
      <c r="C77" s="1645"/>
      <c r="D77" s="360"/>
      <c r="J77" s="1650"/>
      <c r="K77" s="1650"/>
      <c r="L77" s="1650"/>
      <c r="N77" s="1169"/>
      <c r="O77" s="1645"/>
      <c r="P77" s="1645"/>
      <c r="Q77" s="1169"/>
      <c r="R77" s="1169"/>
      <c r="S77" s="1169"/>
      <c r="T77" s="1169"/>
      <c r="U77" s="1645"/>
      <c r="V77" s="1169"/>
      <c r="W77" s="1169"/>
      <c r="X77" s="553"/>
      <c r="Y77" s="1169"/>
      <c r="Z77" s="1169"/>
      <c r="AA77" s="1169"/>
      <c r="AB77" s="1169"/>
      <c r="AC77" s="1169"/>
      <c r="AD77" s="1641"/>
      <c r="AE77" s="575"/>
      <c r="AF77" s="575"/>
      <c r="AG77" s="575"/>
      <c r="AH77" s="575"/>
      <c r="AI77" s="1650">
        <v>11</v>
      </c>
    </row>
    <row s="1650" customFormat="1" customHeight="1" ht="11.549999999999999">
      <c r="A78" s="996"/>
      <c r="B78" s="1645"/>
      <c r="C78" s="1645"/>
      <c r="D78" s="360"/>
      <c r="J78" s="1650"/>
      <c r="K78" s="1650"/>
      <c r="L78" s="1650"/>
      <c r="N78" s="1169"/>
      <c r="O78" s="1645"/>
      <c r="P78" s="1645"/>
      <c r="Q78" s="1169"/>
      <c r="R78" s="1169"/>
      <c r="S78" s="1169"/>
      <c r="T78" s="1169"/>
      <c r="U78" s="1645"/>
      <c r="V78" s="1169"/>
      <c r="W78" s="1169"/>
      <c r="X78" s="553"/>
      <c r="Y78" s="1169"/>
      <c r="Z78" s="1169"/>
      <c r="AA78" s="1169"/>
      <c r="AB78" s="1169"/>
      <c r="AC78" s="1169"/>
      <c r="AD78" s="1641"/>
      <c r="AE78" s="575"/>
      <c r="AF78" s="575"/>
      <c r="AG78" s="575"/>
      <c r="AH78" s="575"/>
      <c r="AI78" s="1650">
        <v>11</v>
      </c>
    </row>
    <row s="1650" customFormat="1" customHeight="1" ht="11.549999999999999">
      <c r="A79" s="996"/>
      <c r="B79" s="1645"/>
      <c r="C79" s="1645"/>
      <c r="D79" s="360"/>
      <c r="J79" s="1650"/>
      <c r="K79" s="1650"/>
      <c r="L79" s="1650"/>
      <c r="N79" s="1169"/>
      <c r="O79" s="1645"/>
      <c r="P79" s="1645"/>
      <c r="Q79" s="1169"/>
      <c r="R79" s="1169"/>
      <c r="S79" s="1169"/>
      <c r="T79" s="1169"/>
      <c r="U79" s="1645"/>
      <c r="V79" s="1169"/>
      <c r="W79" s="1169"/>
      <c r="X79" s="553"/>
      <c r="Y79" s="1169"/>
      <c r="Z79" s="1169"/>
      <c r="AA79" s="1169"/>
      <c r="AB79" s="1169"/>
      <c r="AC79" s="1169"/>
      <c r="AD79" s="1641"/>
      <c r="AE79" s="575"/>
      <c r="AF79" s="575"/>
      <c r="AG79" s="575"/>
      <c r="AH79" s="575"/>
      <c r="AI79" s="1650">
        <v>11</v>
      </c>
    </row>
    <row s="1650" customFormat="1" customHeight="1" ht="11.549999999999999">
      <c r="A80" s="996"/>
      <c r="B80" s="1645"/>
      <c r="C80" s="1645"/>
      <c r="D80" s="360"/>
      <c r="J80" s="1650"/>
      <c r="K80" s="1650"/>
      <c r="L80" s="1650"/>
      <c r="N80" s="1169"/>
      <c r="O80" s="1645"/>
      <c r="P80" s="1645"/>
      <c r="Q80" s="1169"/>
      <c r="R80" s="1169"/>
      <c r="S80" s="1169"/>
      <c r="T80" s="1169"/>
      <c r="U80" s="1645"/>
      <c r="V80" s="1169"/>
      <c r="W80" s="1169"/>
      <c r="X80" s="553"/>
      <c r="Y80" s="1169"/>
      <c r="Z80" s="1169"/>
      <c r="AA80" s="1169"/>
      <c r="AB80" s="1169"/>
      <c r="AC80" s="1169"/>
      <c r="AD80" s="1641"/>
      <c r="AE80" s="575"/>
      <c r="AF80" s="575"/>
      <c r="AG80" s="575"/>
      <c r="AH80" s="575"/>
      <c r="AI80" s="1650">
        <v>11</v>
      </c>
    </row>
    <row s="1650" customFormat="1" customHeight="1" ht="11.549999999999999">
      <c r="A81" s="996"/>
      <c r="B81" s="1645"/>
      <c r="C81" s="1645"/>
      <c r="D81" s="360"/>
      <c r="J81" s="1650"/>
      <c r="K81" s="1650"/>
      <c r="L81" s="1650"/>
      <c r="N81" s="1169"/>
      <c r="O81" s="1645"/>
      <c r="P81" s="1645"/>
      <c r="Q81" s="1169"/>
      <c r="R81" s="1169"/>
      <c r="S81" s="1169"/>
      <c r="T81" s="1169"/>
      <c r="U81" s="1645"/>
      <c r="V81" s="1169"/>
      <c r="W81" s="1169"/>
      <c r="X81" s="553"/>
      <c r="Y81" s="1169"/>
      <c r="Z81" s="1169"/>
      <c r="AA81" s="1169"/>
      <c r="AB81" s="1169"/>
      <c r="AC81" s="1169"/>
      <c r="AD81" s="1641"/>
      <c r="AE81" s="575"/>
      <c r="AF81" s="575"/>
      <c r="AG81" s="575"/>
      <c r="AH81" s="575"/>
      <c r="AI81" s="1650">
        <v>11</v>
      </c>
    </row>
    <row s="1650" customFormat="1" customHeight="1" ht="11.549999999999999">
      <c r="A82" s="996"/>
      <c r="B82" s="1645"/>
      <c r="C82" s="1645"/>
      <c r="D82" s="360"/>
      <c r="J82" s="1650"/>
      <c r="K82" s="1650"/>
      <c r="L82" s="1650"/>
      <c r="N82" s="1169"/>
      <c r="O82" s="1645"/>
      <c r="P82" s="1645"/>
      <c r="Q82" s="1169"/>
      <c r="R82" s="1169"/>
      <c r="S82" s="1169"/>
      <c r="T82" s="1169"/>
      <c r="U82" s="1645"/>
      <c r="V82" s="1169"/>
      <c r="W82" s="1169"/>
      <c r="X82" s="553"/>
      <c r="Y82" s="1169"/>
      <c r="Z82" s="1169"/>
      <c r="AA82" s="1169"/>
      <c r="AB82" s="1169"/>
      <c r="AC82" s="1169"/>
      <c r="AD82" s="1641"/>
      <c r="AE82" s="575"/>
      <c r="AF82" s="575"/>
      <c r="AG82" s="575"/>
      <c r="AH82" s="575"/>
      <c r="AI82" s="1650">
        <v>11</v>
      </c>
    </row>
    <row s="1650" customFormat="1" customHeight="1" ht="11.549999999999999">
      <c r="A83" s="996"/>
      <c r="B83" s="1645"/>
      <c r="C83" s="1645"/>
      <c r="D83" s="360"/>
      <c r="J83" s="1650"/>
      <c r="K83" s="1650"/>
      <c r="L83" s="1650"/>
      <c r="N83" s="1169"/>
      <c r="O83" s="1645"/>
      <c r="P83" s="1645"/>
      <c r="Q83" s="1169"/>
      <c r="R83" s="1169"/>
      <c r="S83" s="1169"/>
      <c r="T83" s="1169"/>
      <c r="U83" s="1645"/>
      <c r="V83" s="1169"/>
      <c r="W83" s="1169"/>
      <c r="X83" s="553"/>
      <c r="Y83" s="1169"/>
      <c r="Z83" s="1169"/>
      <c r="AA83" s="1169"/>
      <c r="AB83" s="1169"/>
      <c r="AC83" s="1169"/>
      <c r="AD83" s="1641"/>
      <c r="AE83" s="575"/>
      <c r="AF83" s="575"/>
      <c r="AG83" s="575"/>
      <c r="AH83" s="575"/>
      <c r="AI83" s="1650">
        <v>11</v>
      </c>
    </row>
    <row s="1650" customFormat="1" customHeight="1" ht="11.549999999999999">
      <c r="A84" s="996"/>
      <c r="B84" s="1645"/>
      <c r="C84" s="1645"/>
      <c r="D84" s="360"/>
      <c r="J84" s="1650"/>
      <c r="K84" s="1650"/>
      <c r="L84" s="1650"/>
      <c r="N84" s="1169"/>
      <c r="O84" s="1645"/>
      <c r="P84" s="1645"/>
      <c r="Q84" s="1169"/>
      <c r="R84" s="1169"/>
      <c r="S84" s="1169"/>
      <c r="T84" s="1169"/>
      <c r="U84" s="1645"/>
      <c r="V84" s="1169"/>
      <c r="W84" s="1169"/>
      <c r="X84" s="553"/>
      <c r="Y84" s="1169"/>
      <c r="Z84" s="1169"/>
      <c r="AA84" s="1169"/>
      <c r="AB84" s="1169"/>
      <c r="AC84" s="1169"/>
      <c r="AD84" s="1641"/>
      <c r="AE84" s="575"/>
      <c r="AF84" s="575"/>
      <c r="AG84" s="575"/>
      <c r="AH84" s="575"/>
      <c r="AI84" s="1650">
        <v>11</v>
      </c>
    </row>
    <row s="1650" customFormat="1" customHeight="1" ht="11.549999999999999">
      <c r="A85" s="996"/>
      <c r="B85" s="1645"/>
      <c r="C85" s="1645"/>
      <c r="D85" s="360"/>
      <c r="J85" s="1650"/>
      <c r="K85" s="1650"/>
      <c r="L85" s="1650"/>
      <c r="N85" s="1169"/>
      <c r="O85" s="1645"/>
      <c r="P85" s="1645"/>
      <c r="Q85" s="1169"/>
      <c r="R85" s="1169"/>
      <c r="S85" s="1169"/>
      <c r="T85" s="1169"/>
      <c r="U85" s="1645"/>
      <c r="V85" s="1169"/>
      <c r="W85" s="1169"/>
      <c r="X85" s="553"/>
      <c r="Y85" s="1169"/>
      <c r="Z85" s="1169"/>
      <c r="AA85" s="1169"/>
      <c r="AB85" s="1169"/>
      <c r="AC85" s="1169"/>
      <c r="AD85" s="1641"/>
      <c r="AE85" s="575"/>
      <c r="AF85" s="575"/>
      <c r="AG85" s="575"/>
      <c r="AH85" s="575"/>
      <c r="AI85" s="1650">
        <v>11</v>
      </c>
    </row>
    <row s="1650" customFormat="1" customHeight="1" ht="11.549999999999999">
      <c r="A86" s="996"/>
      <c r="B86" s="1645"/>
      <c r="C86" s="1645"/>
      <c r="D86" s="360"/>
      <c r="J86" s="1650"/>
      <c r="K86" s="1650"/>
      <c r="L86" s="1650"/>
      <c r="N86" s="1169"/>
      <c r="O86" s="1645"/>
      <c r="P86" s="1645"/>
      <c r="Q86" s="1169"/>
      <c r="R86" s="1169"/>
      <c r="S86" s="1169"/>
      <c r="T86" s="1169"/>
      <c r="U86" s="1645"/>
      <c r="V86" s="1169"/>
      <c r="W86" s="1169"/>
      <c r="X86" s="553"/>
      <c r="Y86" s="1169"/>
      <c r="Z86" s="1169"/>
      <c r="AA86" s="1169"/>
      <c r="AB86" s="1169"/>
      <c r="AC86" s="1169"/>
      <c r="AD86" s="1641"/>
      <c r="AE86" s="575"/>
      <c r="AF86" s="575"/>
      <c r="AG86" s="575"/>
      <c r="AH86" s="575"/>
      <c r="AI86" s="1650">
        <v>11</v>
      </c>
    </row>
    <row s="1650" customFormat="1" customHeight="1" ht="11.549999999999999">
      <c r="A87" s="996"/>
      <c r="B87" s="1645"/>
      <c r="C87" s="1645"/>
      <c r="D87" s="360"/>
      <c r="J87" s="1650"/>
      <c r="K87" s="1650"/>
      <c r="L87" s="1650"/>
      <c r="N87" s="1169"/>
      <c r="O87" s="1645"/>
      <c r="P87" s="1645"/>
      <c r="Q87" s="1169"/>
      <c r="R87" s="1169"/>
      <c r="S87" s="1169"/>
      <c r="T87" s="1169"/>
      <c r="U87" s="1645"/>
      <c r="V87" s="1169"/>
      <c r="W87" s="1169"/>
      <c r="X87" s="553"/>
      <c r="Y87" s="1169"/>
      <c r="Z87" s="1169"/>
      <c r="AA87" s="1169"/>
      <c r="AB87" s="1169"/>
      <c r="AC87" s="1169"/>
      <c r="AD87" s="1641"/>
      <c r="AE87" s="575"/>
      <c r="AF87" s="575"/>
      <c r="AG87" s="575"/>
      <c r="AH87" s="575"/>
      <c r="AI87" s="1650">
        <v>11</v>
      </c>
    </row>
    <row s="1650" customFormat="1" customHeight="1" ht="11.549999999999999">
      <c r="A88" s="996"/>
      <c r="B88" s="1645"/>
      <c r="C88" s="1645"/>
      <c r="D88" s="360"/>
      <c r="J88" s="1650"/>
      <c r="K88" s="1650"/>
      <c r="L88" s="1650"/>
      <c r="N88" s="1169"/>
      <c r="O88" s="1645"/>
      <c r="P88" s="1645"/>
      <c r="Q88" s="1169"/>
      <c r="R88" s="1169"/>
      <c r="S88" s="1169"/>
      <c r="T88" s="1169"/>
      <c r="U88" s="1645"/>
      <c r="V88" s="1169"/>
      <c r="W88" s="1169"/>
      <c r="X88" s="553"/>
      <c r="Y88" s="1169"/>
      <c r="Z88" s="1169"/>
      <c r="AA88" s="1169"/>
      <c r="AB88" s="1169"/>
      <c r="AC88" s="1169"/>
      <c r="AD88" s="1641"/>
      <c r="AE88" s="575"/>
      <c r="AF88" s="575"/>
      <c r="AG88" s="575"/>
      <c r="AH88" s="575"/>
      <c r="AI88" s="1650">
        <v>11</v>
      </c>
    </row>
    <row s="1650" customFormat="1" customHeight="1" ht="11.549999999999999">
      <c r="A89" s="996"/>
      <c r="B89" s="1645"/>
      <c r="C89" s="1645"/>
      <c r="D89" s="360"/>
      <c r="J89" s="1650"/>
      <c r="K89" s="1650"/>
      <c r="L89" s="1650"/>
      <c r="N89" s="1169"/>
      <c r="O89" s="1645"/>
      <c r="P89" s="1645"/>
      <c r="Q89" s="1169"/>
      <c r="R89" s="1169"/>
      <c r="S89" s="1169"/>
      <c r="T89" s="1169"/>
      <c r="U89" s="1645"/>
      <c r="V89" s="1169"/>
      <c r="W89" s="1169"/>
      <c r="X89" s="553"/>
      <c r="Y89" s="1169"/>
      <c r="Z89" s="1169"/>
      <c r="AA89" s="1169"/>
      <c r="AB89" s="1169"/>
      <c r="AC89" s="1169"/>
      <c r="AD89" s="1641"/>
      <c r="AE89" s="575"/>
      <c r="AF89" s="575"/>
      <c r="AG89" s="575"/>
      <c r="AH89" s="575"/>
      <c r="AI89" s="1650">
        <v>11</v>
      </c>
    </row>
    <row s="1650" customFormat="1" customHeight="1" ht="11.549999999999999">
      <c r="A90" s="996"/>
      <c r="B90" s="1645"/>
      <c r="C90" s="1645"/>
      <c r="D90" s="360"/>
      <c r="J90" s="1650"/>
      <c r="K90" s="1650"/>
      <c r="L90" s="1650"/>
      <c r="N90" s="1169"/>
      <c r="O90" s="1645"/>
      <c r="P90" s="1645"/>
      <c r="Q90" s="1169"/>
      <c r="R90" s="1169"/>
      <c r="S90" s="1169"/>
      <c r="T90" s="1169"/>
      <c r="U90" s="1645"/>
      <c r="V90" s="1169"/>
      <c r="W90" s="1169"/>
      <c r="X90" s="553"/>
      <c r="Y90" s="1169"/>
      <c r="Z90" s="1169"/>
      <c r="AA90" s="1169"/>
      <c r="AB90" s="1169"/>
      <c r="AC90" s="1169"/>
      <c r="AD90" s="1641"/>
      <c r="AE90" s="575"/>
      <c r="AF90" s="575"/>
      <c r="AG90" s="575"/>
      <c r="AH90" s="575"/>
      <c r="AI90" s="1650">
        <v>11</v>
      </c>
    </row>
    <row s="1650" customFormat="1" customHeight="1" ht="11.549999999999999">
      <c r="A91" s="996"/>
      <c r="B91" s="1645"/>
      <c r="C91" s="1645"/>
      <c r="D91" s="360"/>
      <c r="J91" s="1650"/>
      <c r="K91" s="1650"/>
      <c r="L91" s="1650"/>
      <c r="N91" s="1169"/>
      <c r="O91" s="1645"/>
      <c r="P91" s="1645"/>
      <c r="Q91" s="1169"/>
      <c r="R91" s="1169"/>
      <c r="S91" s="1169"/>
      <c r="T91" s="1169"/>
      <c r="U91" s="1645"/>
      <c r="V91" s="1169"/>
      <c r="W91" s="1169"/>
      <c r="X91" s="553"/>
      <c r="Y91" s="1169"/>
      <c r="Z91" s="1169"/>
      <c r="AA91" s="1169"/>
      <c r="AB91" s="1169"/>
      <c r="AC91" s="1169"/>
      <c r="AD91" s="1641"/>
      <c r="AE91" s="575"/>
      <c r="AF91" s="575"/>
      <c r="AG91" s="575"/>
      <c r="AH91" s="575"/>
      <c r="AI91" s="1650">
        <v>11</v>
      </c>
    </row>
    <row s="1650" customFormat="1" customHeight="1" ht="11.549999999999999">
      <c r="A92" s="996"/>
      <c r="B92" s="1645"/>
      <c r="C92" s="1645"/>
      <c r="D92" s="360"/>
      <c r="J92" s="1650"/>
      <c r="K92" s="1650"/>
      <c r="L92" s="1650"/>
      <c r="N92" s="1169"/>
      <c r="O92" s="1645"/>
      <c r="P92" s="1645"/>
      <c r="Q92" s="1169"/>
      <c r="R92" s="1169"/>
      <c r="S92" s="1169"/>
      <c r="T92" s="1169"/>
      <c r="U92" s="1645"/>
      <c r="V92" s="1169"/>
      <c r="W92" s="1169"/>
      <c r="X92" s="553"/>
      <c r="Y92" s="1169"/>
      <c r="Z92" s="1169"/>
      <c r="AA92" s="1169"/>
      <c r="AB92" s="1169"/>
      <c r="AC92" s="1169"/>
      <c r="AD92" s="1641"/>
      <c r="AE92" s="575"/>
      <c r="AF92" s="575"/>
      <c r="AG92" s="575"/>
      <c r="AH92" s="575"/>
      <c r="AI92" s="1650">
        <v>11</v>
      </c>
    </row>
    <row s="1650" customFormat="1" customHeight="1" ht="11.549999999999999">
      <c r="A93" s="996"/>
      <c r="B93" s="1645"/>
      <c r="C93" s="1645"/>
      <c r="D93" s="360"/>
      <c r="J93" s="1650"/>
      <c r="K93" s="1650"/>
      <c r="L93" s="1650"/>
      <c r="N93" s="1169"/>
      <c r="O93" s="1645"/>
      <c r="P93" s="1645"/>
      <c r="Q93" s="1169"/>
      <c r="R93" s="1169"/>
      <c r="S93" s="1169"/>
      <c r="T93" s="1169"/>
      <c r="U93" s="1645"/>
      <c r="V93" s="1169"/>
      <c r="W93" s="1169"/>
      <c r="X93" s="553"/>
      <c r="Y93" s="1169"/>
      <c r="Z93" s="1169"/>
      <c r="AA93" s="1169"/>
      <c r="AB93" s="1169"/>
      <c r="AC93" s="1169"/>
      <c r="AD93" s="1641"/>
      <c r="AE93" s="575"/>
      <c r="AF93" s="575"/>
      <c r="AG93" s="575"/>
      <c r="AH93" s="575"/>
      <c r="AI93" s="1650">
        <v>11</v>
      </c>
    </row>
    <row s="1650" customFormat="1" customHeight="1" ht="11.549999999999999">
      <c r="A94" s="996"/>
      <c r="B94" s="1645"/>
      <c r="C94" s="1645"/>
      <c r="D94" s="360"/>
      <c r="J94" s="1650"/>
      <c r="K94" s="1650"/>
      <c r="L94" s="1650"/>
      <c r="N94" s="1169"/>
      <c r="O94" s="1645"/>
      <c r="P94" s="1645"/>
      <c r="Q94" s="1169"/>
      <c r="R94" s="1169"/>
      <c r="S94" s="1169"/>
      <c r="T94" s="1169"/>
      <c r="U94" s="1645"/>
      <c r="V94" s="1169"/>
      <c r="W94" s="1169"/>
      <c r="X94" s="553"/>
      <c r="Y94" s="1169"/>
      <c r="Z94" s="1169"/>
      <c r="AA94" s="1169"/>
      <c r="AB94" s="1169"/>
      <c r="AC94" s="1169"/>
      <c r="AD94" s="1641"/>
      <c r="AE94" s="575"/>
      <c r="AF94" s="575"/>
      <c r="AG94" s="575"/>
      <c r="AH94" s="575"/>
      <c r="AI94" s="1650">
        <v>11</v>
      </c>
    </row>
    <row s="1650" customFormat="1" customHeight="1" ht="11.549999999999999">
      <c r="A95" s="996"/>
      <c r="B95" s="1645"/>
      <c r="C95" s="1645"/>
      <c r="D95" s="360"/>
      <c r="J95" s="1650"/>
      <c r="K95" s="1650"/>
      <c r="L95" s="1650"/>
      <c r="N95" s="1169"/>
      <c r="O95" s="1645"/>
      <c r="P95" s="1645"/>
      <c r="Q95" s="1169"/>
      <c r="R95" s="1169"/>
      <c r="S95" s="1169"/>
      <c r="T95" s="1169"/>
      <c r="U95" s="1645"/>
      <c r="V95" s="1169"/>
      <c r="W95" s="1169"/>
      <c r="X95" s="553"/>
      <c r="Y95" s="1169"/>
      <c r="Z95" s="1169"/>
      <c r="AA95" s="1169"/>
      <c r="AB95" s="1169"/>
      <c r="AC95" s="1169"/>
      <c r="AD95" s="1641"/>
      <c r="AE95" s="575"/>
      <c r="AF95" s="575"/>
      <c r="AG95" s="575"/>
      <c r="AH95" s="575"/>
      <c r="AI95" s="1650">
        <v>11</v>
      </c>
    </row>
    <row s="1650" customFormat="1" customHeight="1" ht="11.549999999999999">
      <c r="A96" s="996"/>
      <c r="B96" s="1645"/>
      <c r="C96" s="1645"/>
      <c r="D96" s="360"/>
      <c r="J96" s="1650"/>
      <c r="K96" s="1650"/>
      <c r="L96" s="1650"/>
      <c r="N96" s="1169"/>
      <c r="O96" s="1645"/>
      <c r="P96" s="1645"/>
      <c r="Q96" s="1169"/>
      <c r="R96" s="1169"/>
      <c r="S96" s="1169"/>
      <c r="T96" s="1169"/>
      <c r="U96" s="1645"/>
      <c r="V96" s="1169"/>
      <c r="W96" s="1169"/>
      <c r="X96" s="553"/>
      <c r="Y96" s="1169"/>
      <c r="Z96" s="1169"/>
      <c r="AA96" s="1169"/>
      <c r="AB96" s="1169"/>
      <c r="AC96" s="1169"/>
      <c r="AD96" s="1641"/>
      <c r="AE96" s="575"/>
      <c r="AF96" s="575"/>
      <c r="AG96" s="575"/>
      <c r="AH96" s="575"/>
      <c r="AI96" s="1650">
        <v>11</v>
      </c>
    </row>
    <row s="1650" customFormat="1" customHeight="1" ht="11.549999999999999">
      <c r="A97" s="996"/>
      <c r="B97" s="1645"/>
      <c r="C97" s="1645"/>
      <c r="D97" s="360"/>
      <c r="J97" s="1650"/>
      <c r="K97" s="1650"/>
      <c r="L97" s="1650"/>
      <c r="N97" s="1169"/>
      <c r="O97" s="1645"/>
      <c r="P97" s="1645"/>
      <c r="Q97" s="1169"/>
      <c r="R97" s="1169"/>
      <c r="S97" s="1169"/>
      <c r="T97" s="1169"/>
      <c r="U97" s="1645"/>
      <c r="V97" s="1169"/>
      <c r="W97" s="1169"/>
      <c r="X97" s="553"/>
      <c r="Y97" s="1169"/>
      <c r="Z97" s="1169"/>
      <c r="AA97" s="1169"/>
      <c r="AB97" s="1169"/>
      <c r="AC97" s="1169"/>
      <c r="AD97" s="1641"/>
      <c r="AE97" s="575"/>
      <c r="AF97" s="575"/>
      <c r="AG97" s="575"/>
      <c r="AH97" s="575"/>
      <c r="AI97" s="1650">
        <v>11</v>
      </c>
    </row>
    <row s="1650" customFormat="1" customHeight="1" ht="11.549999999999999">
      <c r="A98" s="996"/>
      <c r="B98" s="1645"/>
      <c r="C98" s="1645"/>
      <c r="D98" s="360"/>
      <c r="J98" s="1650"/>
      <c r="K98" s="1650"/>
      <c r="L98" s="1650"/>
      <c r="N98" s="1169"/>
      <c r="O98" s="1645"/>
      <c r="P98" s="1645"/>
      <c r="Q98" s="1169"/>
      <c r="R98" s="1169"/>
      <c r="S98" s="1169"/>
      <c r="T98" s="1169"/>
      <c r="U98" s="1645"/>
      <c r="V98" s="1169"/>
      <c r="W98" s="1169"/>
      <c r="X98" s="553"/>
      <c r="Y98" s="1169"/>
      <c r="Z98" s="1169"/>
      <c r="AA98" s="1169"/>
      <c r="AB98" s="1169"/>
      <c r="AC98" s="1169"/>
      <c r="AD98" s="1641"/>
      <c r="AE98" s="575"/>
      <c r="AF98" s="575"/>
      <c r="AG98" s="575"/>
      <c r="AH98" s="575"/>
      <c r="AI98" s="1650">
        <v>11</v>
      </c>
    </row>
    <row s="1650" customFormat="1" customHeight="1" ht="11.549999999999999">
      <c r="A99" s="996"/>
      <c r="B99" s="1645"/>
      <c r="C99" s="1645"/>
      <c r="D99" s="360"/>
      <c r="J99" s="1650"/>
      <c r="K99" s="1650"/>
      <c r="L99" s="1650"/>
      <c r="N99" s="1169"/>
      <c r="O99" s="1645"/>
      <c r="P99" s="1645"/>
      <c r="Q99" s="1169"/>
      <c r="R99" s="1169"/>
      <c r="S99" s="1169"/>
      <c r="T99" s="1169"/>
      <c r="U99" s="1645"/>
      <c r="V99" s="1169"/>
      <c r="W99" s="1169"/>
      <c r="X99" s="553"/>
      <c r="Y99" s="1169"/>
      <c r="Z99" s="1169"/>
      <c r="AA99" s="1169"/>
      <c r="AB99" s="1169"/>
      <c r="AC99" s="1169"/>
      <c r="AD99" s="1641"/>
      <c r="AE99" s="575"/>
      <c r="AF99" s="575"/>
      <c r="AG99" s="575"/>
      <c r="AH99" s="575"/>
      <c r="AI99" s="1650">
        <v>11</v>
      </c>
    </row>
    <row s="1650" customFormat="1" customHeight="1" ht="11.549999999999999">
      <c r="A100" s="996"/>
      <c r="B100" s="1645"/>
      <c r="C100" s="1645"/>
      <c r="D100" s="360"/>
      <c r="J100" s="1650"/>
      <c r="K100" s="1650"/>
      <c r="L100" s="1650"/>
      <c r="N100" s="1169"/>
      <c r="O100" s="1645"/>
      <c r="P100" s="1645"/>
      <c r="Q100" s="1169"/>
      <c r="R100" s="1169"/>
      <c r="S100" s="1169"/>
      <c r="T100" s="1169"/>
      <c r="U100" s="1645"/>
      <c r="V100" s="1169"/>
      <c r="W100" s="1169"/>
      <c r="X100" s="553"/>
      <c r="Y100" s="1169"/>
      <c r="Z100" s="1169"/>
      <c r="AA100" s="1169"/>
      <c r="AB100" s="1169"/>
      <c r="AC100" s="1169"/>
      <c r="AD100" s="1641"/>
      <c r="AE100" s="575"/>
      <c r="AF100" s="575"/>
      <c r="AG100" s="575"/>
      <c r="AH100" s="575"/>
      <c r="AI100" s="1650">
        <v>11</v>
      </c>
    </row>
    <row s="1650" customFormat="1" customHeight="1" ht="11.549999999999999">
      <c r="A101" s="996"/>
      <c r="B101" s="1645"/>
      <c r="C101" s="1645"/>
      <c r="D101" s="360"/>
      <c r="J101" s="1650"/>
      <c r="K101" s="1650"/>
      <c r="L101" s="1650"/>
      <c r="N101" s="1169"/>
      <c r="O101" s="1645"/>
      <c r="P101" s="1645"/>
      <c r="Q101" s="1169"/>
      <c r="R101" s="1169"/>
      <c r="S101" s="1169"/>
      <c r="T101" s="1169"/>
      <c r="U101" s="1645"/>
      <c r="V101" s="1169"/>
      <c r="W101" s="1169"/>
      <c r="X101" s="553"/>
      <c r="Y101" s="1169"/>
      <c r="Z101" s="1169"/>
      <c r="AA101" s="1169"/>
      <c r="AB101" s="1169"/>
      <c r="AC101" s="1169"/>
      <c r="AD101" s="1641"/>
      <c r="AE101" s="575"/>
      <c r="AF101" s="575"/>
      <c r="AG101" s="575"/>
      <c r="AH101" s="575"/>
      <c r="AI101" s="1650">
        <v>11</v>
      </c>
    </row>
    <row s="1650" customFormat="1" customHeight="1" ht="11.549999999999999">
      <c r="A102" s="996"/>
      <c r="B102" s="1645"/>
      <c r="C102" s="1645"/>
      <c r="D102" s="360"/>
      <c r="J102" s="1650"/>
      <c r="K102" s="1650"/>
      <c r="L102" s="1650"/>
      <c r="N102" s="1169"/>
      <c r="O102" s="1645"/>
      <c r="P102" s="1645"/>
      <c r="Q102" s="1169"/>
      <c r="R102" s="1169"/>
      <c r="S102" s="1169"/>
      <c r="T102" s="1169"/>
      <c r="U102" s="1645"/>
      <c r="V102" s="1169"/>
      <c r="W102" s="1169"/>
      <c r="X102" s="553"/>
      <c r="Y102" s="1169"/>
      <c r="Z102" s="1169"/>
      <c r="AA102" s="1169"/>
      <c r="AB102" s="1169"/>
      <c r="AC102" s="1169"/>
      <c r="AD102" s="1641"/>
      <c r="AE102" s="575"/>
      <c r="AF102" s="575"/>
      <c r="AG102" s="575"/>
      <c r="AH102" s="575"/>
      <c r="AI102" s="1650">
        <v>11</v>
      </c>
    </row>
    <row s="1650" customFormat="1" customHeight="1" ht="11.549999999999999">
      <c r="A103" s="996"/>
      <c r="B103" s="1645"/>
      <c r="C103" s="1645"/>
      <c r="D103" s="360"/>
      <c r="J103" s="1650"/>
      <c r="K103" s="1650"/>
      <c r="L103" s="1650"/>
      <c r="N103" s="1169"/>
      <c r="O103" s="1645"/>
      <c r="P103" s="1645"/>
      <c r="Q103" s="1169"/>
      <c r="R103" s="1169"/>
      <c r="S103" s="1169"/>
      <c r="T103" s="1169"/>
      <c r="U103" s="1645"/>
      <c r="V103" s="1169"/>
      <c r="W103" s="1169"/>
      <c r="X103" s="553"/>
      <c r="Y103" s="1169"/>
      <c r="Z103" s="1169"/>
      <c r="AA103" s="1169"/>
      <c r="AB103" s="1169"/>
      <c r="AC103" s="1169"/>
      <c r="AD103" s="1641"/>
      <c r="AE103" s="575"/>
      <c r="AF103" s="575"/>
      <c r="AG103" s="575"/>
      <c r="AH103" s="575"/>
      <c r="AI103" s="1650">
        <v>11</v>
      </c>
    </row>
    <row s="1650" customFormat="1" customHeight="1" ht="11.549999999999999">
      <c r="A104" s="996"/>
      <c r="B104" s="1645"/>
      <c r="C104" s="1645"/>
      <c r="D104" s="360"/>
      <c r="J104" s="1650"/>
      <c r="K104" s="1650"/>
      <c r="L104" s="1650"/>
      <c r="N104" s="1169"/>
      <c r="O104" s="1645"/>
      <c r="P104" s="1645"/>
      <c r="Q104" s="1169"/>
      <c r="R104" s="1169"/>
      <c r="S104" s="1169"/>
      <c r="T104" s="1169"/>
      <c r="U104" s="1645"/>
      <c r="V104" s="1169"/>
      <c r="W104" s="1169"/>
      <c r="X104" s="553"/>
      <c r="Y104" s="1169"/>
      <c r="Z104" s="1169"/>
      <c r="AA104" s="1169"/>
      <c r="AB104" s="1169"/>
      <c r="AC104" s="1169"/>
      <c r="AD104" s="1641"/>
      <c r="AE104" s="575"/>
      <c r="AF104" s="575"/>
      <c r="AG104" s="575"/>
      <c r="AH104" s="575"/>
      <c r="AI104" s="1650">
        <v>11</v>
      </c>
    </row>
    <row s="1650" customFormat="1" customHeight="1" ht="11.549999999999999">
      <c r="A105" s="996"/>
      <c r="B105" s="1645"/>
      <c r="C105" s="1645"/>
      <c r="D105" s="360"/>
      <c r="J105" s="1650"/>
      <c r="K105" s="1650"/>
      <c r="L105" s="1650"/>
      <c r="N105" s="1169"/>
      <c r="O105" s="1645"/>
      <c r="P105" s="1645"/>
      <c r="Q105" s="1169"/>
      <c r="R105" s="1169"/>
      <c r="S105" s="1169"/>
      <c r="T105" s="1169"/>
      <c r="U105" s="1645"/>
      <c r="V105" s="1169"/>
      <c r="W105" s="1169"/>
      <c r="X105" s="553"/>
      <c r="Y105" s="1169"/>
      <c r="Z105" s="1169"/>
      <c r="AA105" s="1169"/>
      <c r="AB105" s="1169"/>
      <c r="AC105" s="1169"/>
      <c r="AD105" s="1641"/>
      <c r="AE105" s="575"/>
      <c r="AF105" s="575"/>
      <c r="AG105" s="575"/>
      <c r="AH105" s="575"/>
      <c r="AI105" s="1650">
        <v>11</v>
      </c>
    </row>
    <row s="1650" customFormat="1" customHeight="1" ht="11.549999999999999">
      <c r="A106" s="996"/>
      <c r="B106" s="1645"/>
      <c r="C106" s="1645"/>
      <c r="D106" s="360"/>
      <c r="J106" s="1650"/>
      <c r="K106" s="1650"/>
      <c r="L106" s="1650"/>
      <c r="N106" s="1169"/>
      <c r="O106" s="1645"/>
      <c r="P106" s="1645"/>
      <c r="Q106" s="1169"/>
      <c r="R106" s="1169"/>
      <c r="S106" s="1169"/>
      <c r="T106" s="1169"/>
      <c r="U106" s="1645"/>
      <c r="V106" s="1169"/>
      <c r="W106" s="1169"/>
      <c r="X106" s="553"/>
      <c r="Y106" s="1169"/>
      <c r="Z106" s="1169"/>
      <c r="AA106" s="1169"/>
      <c r="AB106" s="1169"/>
      <c r="AC106" s="1169"/>
      <c r="AD106" s="1641"/>
      <c r="AE106" s="575"/>
      <c r="AF106" s="575"/>
      <c r="AG106" s="575"/>
      <c r="AH106" s="575"/>
      <c r="AI106" s="1650">
        <v>11</v>
      </c>
    </row>
    <row s="1650" customFormat="1" customHeight="1" ht="11.549999999999999">
      <c r="A107" s="996"/>
      <c r="B107" s="1645"/>
      <c r="C107" s="1645"/>
      <c r="D107" s="360"/>
      <c r="J107" s="1650"/>
      <c r="K107" s="1650"/>
      <c r="L107" s="1650"/>
      <c r="N107" s="1169"/>
      <c r="O107" s="1645"/>
      <c r="P107" s="1645"/>
      <c r="Q107" s="1169"/>
      <c r="R107" s="1169"/>
      <c r="S107" s="1169"/>
      <c r="T107" s="1169"/>
      <c r="U107" s="1645"/>
      <c r="V107" s="1169"/>
      <c r="W107" s="1169"/>
      <c r="X107" s="553"/>
      <c r="Y107" s="1169"/>
      <c r="Z107" s="1169"/>
      <c r="AA107" s="1169"/>
      <c r="AB107" s="1169"/>
      <c r="AC107" s="1169"/>
      <c r="AD107" s="1641"/>
      <c r="AE107" s="575"/>
      <c r="AF107" s="575"/>
      <c r="AG107" s="575"/>
      <c r="AH107" s="575"/>
      <c r="AI107" s="1650">
        <v>11</v>
      </c>
    </row>
    <row s="1650" customFormat="1" customHeight="1" ht="11.549999999999999">
      <c r="A108" s="996"/>
      <c r="B108" s="1645"/>
      <c r="C108" s="1645"/>
      <c r="D108" s="360"/>
      <c r="J108" s="1650"/>
      <c r="K108" s="1650"/>
      <c r="L108" s="1650"/>
      <c r="N108" s="1169"/>
      <c r="O108" s="1645"/>
      <c r="P108" s="1645"/>
      <c r="Q108" s="1169"/>
      <c r="R108" s="1169"/>
      <c r="S108" s="1169"/>
      <c r="T108" s="1169"/>
      <c r="U108" s="1645"/>
      <c r="V108" s="1169"/>
      <c r="W108" s="1169"/>
      <c r="X108" s="553"/>
      <c r="Y108" s="1169"/>
      <c r="Z108" s="1169"/>
      <c r="AA108" s="1169"/>
      <c r="AB108" s="1169"/>
      <c r="AC108" s="1169"/>
      <c r="AD108" s="1641"/>
      <c r="AE108" s="575"/>
      <c r="AF108" s="575"/>
      <c r="AG108" s="575"/>
      <c r="AH108" s="575"/>
      <c r="AI108" s="1650">
        <v>11</v>
      </c>
    </row>
    <row s="1650" customFormat="1" customHeight="1" ht="11.549999999999999">
      <c r="A109" s="996"/>
      <c r="B109" s="1645"/>
      <c r="C109" s="1645"/>
      <c r="D109" s="360"/>
      <c r="J109" s="1650"/>
      <c r="K109" s="1650"/>
      <c r="L109" s="1650"/>
      <c r="N109" s="1169"/>
      <c r="O109" s="1645"/>
      <c r="P109" s="1645"/>
      <c r="Q109" s="1169"/>
      <c r="R109" s="1169"/>
      <c r="S109" s="1169"/>
      <c r="T109" s="1169"/>
      <c r="U109" s="1645"/>
      <c r="V109" s="1169"/>
      <c r="W109" s="1169"/>
      <c r="X109" s="553"/>
      <c r="Y109" s="1169"/>
      <c r="Z109" s="1169"/>
      <c r="AA109" s="1169"/>
      <c r="AB109" s="1169"/>
      <c r="AC109" s="1169"/>
      <c r="AD109" s="1641"/>
      <c r="AE109" s="575"/>
      <c r="AF109" s="575"/>
      <c r="AG109" s="575"/>
      <c r="AH109" s="575"/>
      <c r="AI109" s="1650">
        <v>11</v>
      </c>
    </row>
    <row s="1650" customFormat="1" customHeight="1" ht="11.549999999999999">
      <c r="A110" s="996"/>
      <c r="B110" s="1645"/>
      <c r="C110" s="1645"/>
      <c r="D110" s="360"/>
      <c r="J110" s="1650"/>
      <c r="K110" s="1650"/>
      <c r="L110" s="1650"/>
      <c r="N110" s="1169"/>
      <c r="O110" s="1645"/>
      <c r="P110" s="1645"/>
      <c r="Q110" s="1169"/>
      <c r="R110" s="1169"/>
      <c r="S110" s="1169"/>
      <c r="T110" s="1169"/>
      <c r="U110" s="1645"/>
      <c r="V110" s="1169"/>
      <c r="W110" s="1169"/>
      <c r="X110" s="553"/>
      <c r="Y110" s="1169"/>
      <c r="Z110" s="1169"/>
      <c r="AA110" s="1169"/>
      <c r="AB110" s="1169"/>
      <c r="AC110" s="1169"/>
      <c r="AD110" s="1641"/>
      <c r="AE110" s="575"/>
      <c r="AF110" s="575"/>
      <c r="AG110" s="575"/>
      <c r="AH110" s="575"/>
      <c r="AI110" s="1650">
        <v>11</v>
      </c>
    </row>
    <row s="1650" customFormat="1" customHeight="1" ht="11.549999999999999">
      <c r="A111" s="996"/>
      <c r="B111" s="1645"/>
      <c r="C111" s="1645"/>
      <c r="D111" s="360"/>
      <c r="J111" s="1650"/>
      <c r="K111" s="1650"/>
      <c r="L111" s="1650"/>
      <c r="N111" s="1169"/>
      <c r="O111" s="1645"/>
      <c r="P111" s="1645"/>
      <c r="Q111" s="1169"/>
      <c r="R111" s="1169"/>
      <c r="S111" s="1169"/>
      <c r="T111" s="1169"/>
      <c r="U111" s="1645"/>
      <c r="V111" s="1169"/>
      <c r="W111" s="1169"/>
      <c r="X111" s="553"/>
      <c r="Y111" s="1169"/>
      <c r="Z111" s="1169"/>
      <c r="AA111" s="1169"/>
      <c r="AB111" s="1169"/>
      <c r="AC111" s="1169"/>
      <c r="AD111" s="1641"/>
      <c r="AE111" s="575"/>
      <c r="AF111" s="575"/>
      <c r="AG111" s="575"/>
      <c r="AH111" s="575"/>
      <c r="AI111" s="1650">
        <v>11</v>
      </c>
    </row>
    <row s="1650" customFormat="1" customHeight="1" ht="11.549999999999999">
      <c r="A112" s="996"/>
      <c r="B112" s="1645"/>
      <c r="C112" s="1645"/>
      <c r="D112" s="360"/>
      <c r="J112" s="1650"/>
      <c r="K112" s="1650"/>
      <c r="L112" s="1650"/>
      <c r="N112" s="1169"/>
      <c r="O112" s="1645"/>
      <c r="P112" s="1645"/>
      <c r="Q112" s="1169"/>
      <c r="R112" s="1169"/>
      <c r="S112" s="1169"/>
      <c r="T112" s="1169"/>
      <c r="U112" s="1645"/>
      <c r="V112" s="1169"/>
      <c r="W112" s="1169"/>
      <c r="X112" s="553"/>
      <c r="Y112" s="1169"/>
      <c r="Z112" s="1169"/>
      <c r="AA112" s="1169"/>
      <c r="AB112" s="1169"/>
      <c r="AC112" s="1169"/>
      <c r="AD112" s="1641"/>
      <c r="AE112" s="575"/>
      <c r="AF112" s="575"/>
      <c r="AG112" s="575"/>
      <c r="AH112" s="575"/>
      <c r="AI112" s="1650">
        <v>11</v>
      </c>
    </row>
    <row s="1650" customFormat="1" customHeight="1" ht="11.549999999999999">
      <c r="A113" s="996"/>
      <c r="B113" s="1645"/>
      <c r="C113" s="1645"/>
      <c r="D113" s="360"/>
      <c r="J113" s="1650"/>
      <c r="K113" s="1650"/>
      <c r="L113" s="1650"/>
      <c r="N113" s="1169"/>
      <c r="O113" s="1645"/>
      <c r="P113" s="1645"/>
      <c r="Q113" s="1169"/>
      <c r="R113" s="1169"/>
      <c r="S113" s="1169"/>
      <c r="T113" s="1169"/>
      <c r="U113" s="1645"/>
      <c r="V113" s="1169"/>
      <c r="W113" s="1169"/>
      <c r="X113" s="553"/>
      <c r="Y113" s="1169"/>
      <c r="Z113" s="1169"/>
      <c r="AA113" s="1169"/>
      <c r="AB113" s="1169"/>
      <c r="AC113" s="1169"/>
      <c r="AD113" s="1641"/>
      <c r="AE113" s="575"/>
      <c r="AF113" s="575"/>
      <c r="AG113" s="575"/>
      <c r="AH113" s="575"/>
      <c r="AI113" s="1650">
        <v>11</v>
      </c>
    </row>
    <row s="1650" customFormat="1" customHeight="1" ht="11.549999999999999">
      <c r="A114" s="996"/>
      <c r="B114" s="1645"/>
      <c r="C114" s="1645"/>
      <c r="D114" s="360"/>
      <c r="J114" s="1650"/>
      <c r="K114" s="1650"/>
      <c r="L114" s="1650"/>
      <c r="N114" s="1169"/>
      <c r="O114" s="1645"/>
      <c r="P114" s="1645"/>
      <c r="Q114" s="1169"/>
      <c r="R114" s="1169"/>
      <c r="S114" s="1169"/>
      <c r="T114" s="1169"/>
      <c r="U114" s="1645"/>
      <c r="V114" s="1169"/>
      <c r="W114" s="1169"/>
      <c r="X114" s="553"/>
      <c r="Y114" s="1169"/>
      <c r="Z114" s="1169"/>
      <c r="AA114" s="1169"/>
      <c r="AB114" s="1169"/>
      <c r="AC114" s="1169"/>
      <c r="AD114" s="1641"/>
      <c r="AE114" s="575"/>
      <c r="AF114" s="575"/>
      <c r="AG114" s="575"/>
      <c r="AH114" s="575"/>
      <c r="AI114" s="1650">
        <v>11</v>
      </c>
    </row>
    <row s="1650" customFormat="1" customHeight="1" ht="11.549999999999999">
      <c r="A115" s="996"/>
      <c r="B115" s="1645"/>
      <c r="C115" s="1645"/>
      <c r="D115" s="360"/>
      <c r="J115" s="1650"/>
      <c r="K115" s="1650"/>
      <c r="L115" s="1650"/>
      <c r="N115" s="1169"/>
      <c r="O115" s="1645"/>
      <c r="P115" s="1645"/>
      <c r="Q115" s="1169"/>
      <c r="R115" s="1169"/>
      <c r="S115" s="1169"/>
      <c r="T115" s="1169"/>
      <c r="U115" s="1645"/>
      <c r="V115" s="1169"/>
      <c r="W115" s="1169"/>
      <c r="X115" s="553"/>
      <c r="Y115" s="1169"/>
      <c r="Z115" s="1169"/>
      <c r="AA115" s="1169"/>
      <c r="AB115" s="1169"/>
      <c r="AC115" s="1169"/>
      <c r="AD115" s="1641"/>
      <c r="AE115" s="575"/>
      <c r="AF115" s="575"/>
      <c r="AG115" s="575"/>
      <c r="AH115" s="575"/>
      <c r="AI115" s="1650">
        <v>11</v>
      </c>
    </row>
    <row s="1650" customFormat="1" customHeight="1" ht="11.549999999999999">
      <c r="A116" s="996"/>
      <c r="B116" s="1645"/>
      <c r="C116" s="1645"/>
      <c r="D116" s="360"/>
      <c r="J116" s="1650"/>
      <c r="K116" s="1650"/>
      <c r="L116" s="1650"/>
      <c r="N116" s="1169"/>
      <c r="O116" s="1645"/>
      <c r="P116" s="1645"/>
      <c r="Q116" s="1169"/>
      <c r="R116" s="1169"/>
      <c r="S116" s="1169"/>
      <c r="T116" s="1169"/>
      <c r="U116" s="1645"/>
      <c r="V116" s="1169"/>
      <c r="W116" s="1169"/>
      <c r="X116" s="553"/>
      <c r="Y116" s="1169"/>
      <c r="Z116" s="1169"/>
      <c r="AA116" s="1169"/>
      <c r="AB116" s="1169"/>
      <c r="AC116" s="1169"/>
      <c r="AD116" s="1641"/>
      <c r="AE116" s="575"/>
      <c r="AF116" s="575"/>
      <c r="AG116" s="575"/>
      <c r="AH116" s="575"/>
      <c r="AI116" s="1650">
        <v>11</v>
      </c>
    </row>
    <row s="1650" customFormat="1" customHeight="1" ht="11.549999999999999">
      <c r="A117" s="996"/>
      <c r="B117" s="1645"/>
      <c r="C117" s="1645"/>
      <c r="D117" s="360"/>
      <c r="J117" s="1650"/>
      <c r="K117" s="1650"/>
      <c r="L117" s="1650"/>
      <c r="N117" s="1169"/>
      <c r="O117" s="1645"/>
      <c r="P117" s="1645"/>
      <c r="Q117" s="1169"/>
      <c r="R117" s="1169"/>
      <c r="S117" s="1169"/>
      <c r="T117" s="1169"/>
      <c r="U117" s="1645"/>
      <c r="V117" s="1169"/>
      <c r="W117" s="1169"/>
      <c r="X117" s="553"/>
      <c r="Y117" s="1169"/>
      <c r="Z117" s="1169"/>
      <c r="AA117" s="1169"/>
      <c r="AB117" s="1169"/>
      <c r="AC117" s="1169"/>
      <c r="AD117" s="1641"/>
      <c r="AE117" s="575"/>
      <c r="AF117" s="575"/>
      <c r="AG117" s="575"/>
      <c r="AH117" s="575"/>
      <c r="AI117" s="1650">
        <v>11</v>
      </c>
    </row>
    <row s="1650" customFormat="1" customHeight="1" ht="11.549999999999999">
      <c r="A118" s="996"/>
      <c r="B118" s="1645"/>
      <c r="C118" s="1645"/>
      <c r="D118" s="360"/>
      <c r="J118" s="1650"/>
      <c r="K118" s="1650"/>
      <c r="L118" s="1650"/>
      <c r="N118" s="1169"/>
      <c r="O118" s="1645"/>
      <c r="P118" s="1645"/>
      <c r="Q118" s="1169"/>
      <c r="R118" s="1169"/>
      <c r="S118" s="1169"/>
      <c r="T118" s="1169"/>
      <c r="U118" s="1645"/>
      <c r="V118" s="1169"/>
      <c r="W118" s="1169"/>
      <c r="X118" s="553"/>
      <c r="Y118" s="1169"/>
      <c r="Z118" s="1169"/>
      <c r="AA118" s="1169"/>
      <c r="AB118" s="1169"/>
      <c r="AC118" s="1169"/>
      <c r="AD118" s="1641"/>
      <c r="AE118" s="575"/>
      <c r="AF118" s="575"/>
      <c r="AG118" s="575"/>
      <c r="AH118" s="575"/>
      <c r="AI118" s="1650">
        <v>11</v>
      </c>
    </row>
    <row s="1650" customFormat="1" customHeight="1" ht="11.549999999999999">
      <c r="A119" s="996"/>
      <c r="B119" s="1645"/>
      <c r="C119" s="1645"/>
      <c r="D119" s="360"/>
      <c r="J119" s="1650"/>
      <c r="K119" s="1650"/>
      <c r="L119" s="1650"/>
      <c r="N119" s="1169"/>
      <c r="O119" s="1645"/>
      <c r="P119" s="1645"/>
      <c r="Q119" s="1169"/>
      <c r="R119" s="1169"/>
      <c r="S119" s="1169"/>
      <c r="T119" s="1169"/>
      <c r="U119" s="1645"/>
      <c r="V119" s="1169"/>
      <c r="W119" s="1169"/>
      <c r="X119" s="553"/>
      <c r="Y119" s="1169"/>
      <c r="Z119" s="1169"/>
      <c r="AA119" s="1169"/>
      <c r="AB119" s="1169"/>
      <c r="AC119" s="1169"/>
      <c r="AD119" s="1641"/>
      <c r="AE119" s="575"/>
      <c r="AF119" s="575"/>
      <c r="AG119" s="575"/>
      <c r="AH119" s="575"/>
      <c r="AI119" s="1650">
        <v>11</v>
      </c>
    </row>
    <row s="1650" customFormat="1" customHeight="1" ht="11.549999999999999">
      <c r="A120" s="996"/>
      <c r="B120" s="1645"/>
      <c r="C120" s="1645"/>
      <c r="D120" s="360"/>
      <c r="J120" s="1650"/>
      <c r="K120" s="1650"/>
      <c r="L120" s="1650"/>
      <c r="N120" s="1169"/>
      <c r="O120" s="1645"/>
      <c r="P120" s="1645"/>
      <c r="Q120" s="1169"/>
      <c r="R120" s="1169"/>
      <c r="S120" s="1169"/>
      <c r="T120" s="1169"/>
      <c r="U120" s="1645"/>
      <c r="V120" s="1169"/>
      <c r="W120" s="1169"/>
      <c r="X120" s="553"/>
      <c r="Y120" s="1169"/>
      <c r="Z120" s="1169"/>
      <c r="AA120" s="1169"/>
      <c r="AB120" s="1169"/>
      <c r="AC120" s="1169"/>
      <c r="AD120" s="1641"/>
      <c r="AE120" s="575"/>
      <c r="AF120" s="575"/>
      <c r="AG120" s="575"/>
      <c r="AH120" s="575"/>
      <c r="AI120" s="1650">
        <v>11</v>
      </c>
    </row>
    <row s="1650" customFormat="1" customHeight="1" ht="11.549999999999999">
      <c r="A121" s="996"/>
      <c r="B121" s="1645"/>
      <c r="C121" s="1645"/>
      <c r="D121" s="360"/>
      <c r="J121" s="1650"/>
      <c r="K121" s="1650"/>
      <c r="L121" s="1650"/>
      <c r="N121" s="1169"/>
      <c r="O121" s="1645"/>
      <c r="P121" s="1645"/>
      <c r="Q121" s="1169"/>
      <c r="R121" s="1169"/>
      <c r="S121" s="1169"/>
      <c r="T121" s="1169"/>
      <c r="U121" s="1645"/>
      <c r="V121" s="1169"/>
      <c r="W121" s="1169"/>
      <c r="X121" s="553"/>
      <c r="Y121" s="1169"/>
      <c r="Z121" s="1169"/>
      <c r="AA121" s="1169"/>
      <c r="AB121" s="1169"/>
      <c r="AC121" s="1169"/>
      <c r="AD121" s="1641"/>
      <c r="AE121" s="575"/>
      <c r="AF121" s="575"/>
      <c r="AG121" s="575"/>
      <c r="AH121" s="575"/>
      <c r="AI121" s="1650">
        <v>11</v>
      </c>
    </row>
    <row s="1650" customFormat="1" customHeight="1" ht="11.549999999999999">
      <c r="A122" s="996"/>
      <c r="B122" s="1645"/>
      <c r="C122" s="1645"/>
      <c r="D122" s="360"/>
      <c r="J122" s="1650"/>
      <c r="K122" s="1650"/>
      <c r="L122" s="1650"/>
      <c r="N122" s="1169"/>
      <c r="O122" s="1645"/>
      <c r="P122" s="1645"/>
      <c r="Q122" s="1169"/>
      <c r="R122" s="1169"/>
      <c r="S122" s="1169"/>
      <c r="T122" s="1169"/>
      <c r="U122" s="1645"/>
      <c r="V122" s="1169"/>
      <c r="W122" s="1169"/>
      <c r="X122" s="553"/>
      <c r="Y122" s="1169"/>
      <c r="Z122" s="1169"/>
      <c r="AA122" s="1169"/>
      <c r="AB122" s="1169"/>
      <c r="AC122" s="1169"/>
      <c r="AD122" s="1641"/>
      <c r="AE122" s="575"/>
      <c r="AF122" s="575"/>
      <c r="AG122" s="575"/>
      <c r="AH122" s="575"/>
      <c r="AI122" s="1650">
        <v>11</v>
      </c>
    </row>
    <row s="1650" customFormat="1" customHeight="1" ht="11.549999999999999">
      <c r="A123" s="996"/>
      <c r="B123" s="1645"/>
      <c r="C123" s="1645"/>
      <c r="D123" s="360"/>
      <c r="J123" s="1650"/>
      <c r="K123" s="1650"/>
      <c r="L123" s="1650"/>
      <c r="N123" s="1169"/>
      <c r="O123" s="1645"/>
      <c r="P123" s="1645"/>
      <c r="Q123" s="1169"/>
      <c r="R123" s="1169"/>
      <c r="S123" s="1169"/>
      <c r="T123" s="1169"/>
      <c r="U123" s="1645"/>
      <c r="V123" s="1169"/>
      <c r="W123" s="1169"/>
      <c r="X123" s="553"/>
      <c r="Y123" s="1169"/>
      <c r="Z123" s="1169"/>
      <c r="AA123" s="1169"/>
      <c r="AB123" s="1169"/>
      <c r="AC123" s="1169"/>
      <c r="AD123" s="1641"/>
      <c r="AE123" s="575"/>
      <c r="AF123" s="575"/>
      <c r="AG123" s="575"/>
      <c r="AH123" s="575"/>
      <c r="AI123" s="1650">
        <v>11</v>
      </c>
    </row>
    <row s="1650" customFormat="1" customHeight="1" ht="11.549999999999999">
      <c r="A124" s="996"/>
      <c r="B124" s="1645"/>
      <c r="C124" s="1645"/>
      <c r="D124" s="360"/>
      <c r="J124" s="1650"/>
      <c r="K124" s="1650"/>
      <c r="L124" s="1650"/>
      <c r="N124" s="1169"/>
      <c r="O124" s="1645"/>
      <c r="P124" s="1645"/>
      <c r="Q124" s="1169"/>
      <c r="R124" s="1169"/>
      <c r="S124" s="1169"/>
      <c r="T124" s="1169"/>
      <c r="U124" s="1645"/>
      <c r="V124" s="1169"/>
      <c r="W124" s="1169"/>
      <c r="X124" s="553"/>
      <c r="Y124" s="1169"/>
      <c r="Z124" s="1169"/>
      <c r="AA124" s="1169"/>
      <c r="AB124" s="1169"/>
      <c r="AC124" s="1169"/>
      <c r="AD124" s="1641"/>
      <c r="AE124" s="575"/>
      <c r="AF124" s="575"/>
      <c r="AG124" s="575"/>
      <c r="AH124" s="575"/>
      <c r="AI124" s="1650">
        <v>11</v>
      </c>
    </row>
    <row s="1650" customFormat="1" customHeight="1" ht="11.549999999999999">
      <c r="A125" s="996"/>
      <c r="B125" s="1645"/>
      <c r="C125" s="1645"/>
      <c r="D125" s="360"/>
      <c r="J125" s="1650"/>
      <c r="K125" s="1650"/>
      <c r="L125" s="1650"/>
      <c r="N125" s="1169"/>
      <c r="O125" s="1645"/>
      <c r="P125" s="1645"/>
      <c r="Q125" s="1169"/>
      <c r="R125" s="1169"/>
      <c r="S125" s="1169"/>
      <c r="T125" s="1169"/>
      <c r="U125" s="1645"/>
      <c r="V125" s="1169"/>
      <c r="W125" s="1169"/>
      <c r="X125" s="553"/>
      <c r="Y125" s="1169"/>
      <c r="Z125" s="1169"/>
      <c r="AA125" s="1169"/>
      <c r="AB125" s="1169"/>
      <c r="AC125" s="1169"/>
      <c r="AD125" s="1641"/>
      <c r="AE125" s="575"/>
      <c r="AF125" s="575"/>
      <c r="AG125" s="575"/>
      <c r="AH125" s="575"/>
      <c r="AI125" s="1650">
        <v>11</v>
      </c>
    </row>
    <row s="1650" customFormat="1" customHeight="1" ht="11.549999999999999">
      <c r="A126" s="996"/>
      <c r="B126" s="1645"/>
      <c r="C126" s="1645"/>
      <c r="D126" s="360"/>
      <c r="J126" s="1650"/>
      <c r="K126" s="1650"/>
      <c r="L126" s="1650"/>
      <c r="N126" s="1169"/>
      <c r="O126" s="1645"/>
      <c r="P126" s="1645"/>
      <c r="Q126" s="1169"/>
      <c r="R126" s="1169"/>
      <c r="S126" s="1169"/>
      <c r="T126" s="1169"/>
      <c r="U126" s="1645"/>
      <c r="V126" s="1169"/>
      <c r="W126" s="1169"/>
      <c r="X126" s="553"/>
      <c r="Y126" s="1169"/>
      <c r="Z126" s="1169"/>
      <c r="AA126" s="1169"/>
      <c r="AB126" s="1169"/>
      <c r="AC126" s="1169"/>
      <c r="AD126" s="1641"/>
      <c r="AE126" s="575"/>
      <c r="AF126" s="575"/>
      <c r="AG126" s="575"/>
      <c r="AH126" s="575"/>
      <c r="AI126" s="1650">
        <v>11</v>
      </c>
    </row>
    <row s="1650" customFormat="1" customHeight="1" ht="11.549999999999999">
      <c r="A127" s="996"/>
      <c r="B127" s="1645"/>
      <c r="C127" s="1645"/>
      <c r="D127" s="360"/>
      <c r="J127" s="1650"/>
      <c r="K127" s="1650"/>
      <c r="L127" s="1650"/>
      <c r="N127" s="1169"/>
      <c r="O127" s="1645"/>
      <c r="P127" s="1645"/>
      <c r="Q127" s="1169"/>
      <c r="R127" s="1169"/>
      <c r="S127" s="1169"/>
      <c r="T127" s="1169"/>
      <c r="U127" s="1645"/>
      <c r="V127" s="1169"/>
      <c r="W127" s="1169"/>
      <c r="X127" s="553"/>
      <c r="Y127" s="1169"/>
      <c r="Z127" s="1169"/>
      <c r="AA127" s="1169"/>
      <c r="AB127" s="1169"/>
      <c r="AC127" s="1169"/>
      <c r="AD127" s="1641"/>
      <c r="AE127" s="575"/>
      <c r="AF127" s="575"/>
      <c r="AG127" s="575"/>
      <c r="AH127" s="575"/>
      <c r="AI127" s="1650">
        <v>11</v>
      </c>
    </row>
    <row s="1650" customFormat="1" customHeight="1" ht="11.549999999999999">
      <c r="A128" s="996"/>
      <c r="B128" s="1645"/>
      <c r="C128" s="1645"/>
      <c r="D128" s="360"/>
      <c r="J128" s="1650"/>
      <c r="K128" s="1650"/>
      <c r="L128" s="1650"/>
      <c r="N128" s="1169"/>
      <c r="O128" s="1645"/>
      <c r="P128" s="1645"/>
      <c r="Q128" s="1169"/>
      <c r="R128" s="1169"/>
      <c r="S128" s="1169"/>
      <c r="T128" s="1169"/>
      <c r="U128" s="1645"/>
      <c r="V128" s="1169"/>
      <c r="W128" s="1169"/>
      <c r="X128" s="553"/>
      <c r="Y128" s="1169"/>
      <c r="Z128" s="1169"/>
      <c r="AA128" s="1169"/>
      <c r="AB128" s="1169"/>
      <c r="AC128" s="1169"/>
      <c r="AD128" s="1641"/>
      <c r="AE128" s="575"/>
      <c r="AF128" s="575"/>
      <c r="AG128" s="575"/>
      <c r="AH128" s="575"/>
      <c r="AI128" s="1650">
        <v>11</v>
      </c>
    </row>
    <row s="1650" customFormat="1" customHeight="1" ht="11.549999999999999">
      <c r="A129" s="996"/>
      <c r="B129" s="1645"/>
      <c r="C129" s="1645"/>
      <c r="D129" s="360"/>
      <c r="J129" s="1650"/>
      <c r="K129" s="1650"/>
      <c r="L129" s="1650"/>
      <c r="N129" s="1169"/>
      <c r="O129" s="1645"/>
      <c r="P129" s="1645"/>
      <c r="Q129" s="1169"/>
      <c r="R129" s="1169"/>
      <c r="S129" s="1169"/>
      <c r="T129" s="1169"/>
      <c r="U129" s="1645"/>
      <c r="V129" s="1169"/>
      <c r="W129" s="1169"/>
      <c r="X129" s="553"/>
      <c r="Y129" s="1169"/>
      <c r="Z129" s="1169"/>
      <c r="AA129" s="1169"/>
      <c r="AB129" s="1169"/>
      <c r="AC129" s="1169"/>
      <c r="AD129" s="1641"/>
      <c r="AE129" s="575"/>
      <c r="AF129" s="575"/>
      <c r="AG129" s="575"/>
      <c r="AH129" s="575"/>
      <c r="AI129" s="1650">
        <v>11</v>
      </c>
    </row>
    <row s="1650" customFormat="1" customHeight="1" ht="11.549999999999999">
      <c r="A130" s="996"/>
      <c r="B130" s="1645"/>
      <c r="C130" s="1645"/>
      <c r="D130" s="360"/>
      <c r="J130" s="1650"/>
      <c r="K130" s="1650"/>
      <c r="L130" s="1650"/>
      <c r="N130" s="1169"/>
      <c r="O130" s="1645"/>
      <c r="P130" s="1645"/>
      <c r="Q130" s="1169"/>
      <c r="R130" s="1169"/>
      <c r="S130" s="1169"/>
      <c r="T130" s="1169"/>
      <c r="U130" s="1645"/>
      <c r="V130" s="1169"/>
      <c r="W130" s="1169"/>
      <c r="X130" s="553"/>
      <c r="Y130" s="1169"/>
      <c r="Z130" s="1169"/>
      <c r="AA130" s="1169"/>
      <c r="AB130" s="1169"/>
      <c r="AC130" s="1169"/>
      <c r="AD130" s="1641"/>
      <c r="AE130" s="575"/>
      <c r="AF130" s="575"/>
      <c r="AG130" s="575"/>
      <c r="AH130" s="575"/>
      <c r="AI130" s="1650">
        <v>11</v>
      </c>
    </row>
    <row s="1650" customFormat="1" customHeight="1" ht="11.549999999999999">
      <c r="A131" s="996"/>
      <c r="B131" s="1645"/>
      <c r="C131" s="1645"/>
      <c r="D131" s="360"/>
      <c r="J131" s="1650"/>
      <c r="K131" s="1650"/>
      <c r="L131" s="1650"/>
      <c r="N131" s="1169"/>
      <c r="O131" s="1645"/>
      <c r="P131" s="1645"/>
      <c r="Q131" s="1169"/>
      <c r="R131" s="1169"/>
      <c r="S131" s="1169"/>
      <c r="T131" s="1169"/>
      <c r="U131" s="1645"/>
      <c r="V131" s="1169"/>
      <c r="W131" s="1169"/>
      <c r="X131" s="553"/>
      <c r="Y131" s="1169"/>
      <c r="Z131" s="1169"/>
      <c r="AA131" s="1169"/>
      <c r="AB131" s="1169"/>
      <c r="AC131" s="1169"/>
      <c r="AD131" s="1641"/>
      <c r="AE131" s="575"/>
      <c r="AF131" s="575"/>
      <c r="AG131" s="575"/>
      <c r="AH131" s="575"/>
      <c r="AI131" s="1650">
        <v>11</v>
      </c>
    </row>
    <row s="1650" customFormat="1" customHeight="1" ht="11.549999999999999">
      <c r="A132" s="996"/>
      <c r="B132" s="1645"/>
      <c r="C132" s="1645"/>
      <c r="D132" s="360"/>
      <c r="J132" s="1650"/>
      <c r="K132" s="1650"/>
      <c r="L132" s="1650"/>
      <c r="N132" s="1169"/>
      <c r="O132" s="1645"/>
      <c r="P132" s="1645"/>
      <c r="Q132" s="1169"/>
      <c r="R132" s="1169"/>
      <c r="S132" s="1169"/>
      <c r="T132" s="1169"/>
      <c r="U132" s="1645"/>
      <c r="V132" s="1169"/>
      <c r="W132" s="1169"/>
      <c r="X132" s="553"/>
      <c r="Y132" s="1169"/>
      <c r="Z132" s="1169"/>
      <c r="AA132" s="1169"/>
      <c r="AB132" s="1169"/>
      <c r="AC132" s="1169"/>
      <c r="AD132" s="1641"/>
      <c r="AE132" s="575"/>
      <c r="AF132" s="575"/>
      <c r="AG132" s="575"/>
      <c r="AH132" s="575"/>
      <c r="AI132" s="1650">
        <v>11</v>
      </c>
    </row>
    <row s="1650" customFormat="1" customHeight="1" ht="11.549999999999999">
      <c r="A133" s="996"/>
      <c r="B133" s="1645"/>
      <c r="C133" s="1645"/>
      <c r="D133" s="360"/>
      <c r="J133" s="1650"/>
      <c r="K133" s="1650"/>
      <c r="L133" s="1650"/>
      <c r="N133" s="1169"/>
      <c r="O133" s="1645"/>
      <c r="P133" s="1645"/>
      <c r="Q133" s="1169"/>
      <c r="R133" s="1169"/>
      <c r="S133" s="1169"/>
      <c r="T133" s="1169"/>
      <c r="U133" s="1645"/>
      <c r="V133" s="1169"/>
      <c r="W133" s="1169"/>
      <c r="X133" s="553"/>
      <c r="Y133" s="1169"/>
      <c r="Z133" s="1169"/>
      <c r="AA133" s="1169"/>
      <c r="AB133" s="1169"/>
      <c r="AC133" s="1169"/>
      <c r="AD133" s="1641"/>
      <c r="AE133" s="575"/>
      <c r="AF133" s="575"/>
      <c r="AG133" s="575"/>
      <c r="AH133" s="575"/>
      <c r="AI133" s="1650">
        <v>11</v>
      </c>
    </row>
    <row s="1650" customFormat="1" customHeight="1" ht="11.549999999999999">
      <c r="A134" s="996"/>
      <c r="B134" s="1645"/>
      <c r="C134" s="1645"/>
      <c r="D134" s="360"/>
      <c r="J134" s="1650"/>
      <c r="K134" s="1650"/>
      <c r="L134" s="1650"/>
      <c r="N134" s="1169"/>
      <c r="O134" s="1645"/>
      <c r="P134" s="1645"/>
      <c r="Q134" s="1169"/>
      <c r="R134" s="1169"/>
      <c r="S134" s="1169"/>
      <c r="T134" s="1169"/>
      <c r="U134" s="1645"/>
      <c r="V134" s="1169"/>
      <c r="W134" s="1169"/>
      <c r="X134" s="553"/>
      <c r="Y134" s="1169"/>
      <c r="Z134" s="1169"/>
      <c r="AA134" s="1169"/>
      <c r="AB134" s="1169"/>
      <c r="AC134" s="1169"/>
      <c r="AD134" s="1641"/>
      <c r="AE134" s="575"/>
      <c r="AF134" s="575"/>
      <c r="AG134" s="575"/>
      <c r="AH134" s="575"/>
      <c r="AI134" s="1650">
        <v>11</v>
      </c>
    </row>
    <row s="1650" customFormat="1" customHeight="1" ht="11.549999999999999">
      <c r="A135" s="996"/>
      <c r="B135" s="1645"/>
      <c r="C135" s="1645"/>
      <c r="D135" s="360"/>
      <c r="J135" s="1650"/>
      <c r="K135" s="1650"/>
      <c r="L135" s="1650"/>
      <c r="N135" s="1169"/>
      <c r="O135" s="1645"/>
      <c r="P135" s="1645"/>
      <c r="Q135" s="1169"/>
      <c r="R135" s="1169"/>
      <c r="S135" s="1169"/>
      <c r="T135" s="1169"/>
      <c r="U135" s="1645"/>
      <c r="V135" s="1169"/>
      <c r="W135" s="1169"/>
      <c r="X135" s="553"/>
      <c r="Y135" s="1169"/>
      <c r="Z135" s="1169"/>
      <c r="AA135" s="1169"/>
      <c r="AB135" s="1169"/>
      <c r="AC135" s="1169"/>
      <c r="AD135" s="1641"/>
      <c r="AE135" s="575"/>
      <c r="AF135" s="575"/>
      <c r="AG135" s="575"/>
      <c r="AH135" s="575"/>
      <c r="AI135" s="1650">
        <v>11</v>
      </c>
    </row>
    <row s="1650" customFormat="1" customHeight="1" ht="11.549999999999999">
      <c r="A136" s="996"/>
      <c r="B136" s="1645"/>
      <c r="C136" s="1645"/>
      <c r="D136" s="360"/>
      <c r="J136" s="1650"/>
      <c r="K136" s="1650"/>
      <c r="L136" s="1650"/>
      <c r="N136" s="1169"/>
      <c r="O136" s="1645"/>
      <c r="P136" s="1645"/>
      <c r="Q136" s="1169"/>
      <c r="R136" s="1169"/>
      <c r="S136" s="1169"/>
      <c r="T136" s="1169"/>
      <c r="U136" s="1645"/>
      <c r="V136" s="1169"/>
      <c r="W136" s="1169"/>
      <c r="X136" s="553"/>
      <c r="Y136" s="1169"/>
      <c r="Z136" s="1169"/>
      <c r="AA136" s="1169"/>
      <c r="AB136" s="1169"/>
      <c r="AC136" s="1169"/>
      <c r="AD136" s="1641"/>
      <c r="AE136" s="575"/>
      <c r="AF136" s="575"/>
      <c r="AG136" s="575"/>
      <c r="AH136" s="575"/>
      <c r="AI136" s="1650">
        <v>11</v>
      </c>
    </row>
    <row s="1650" customFormat="1" customHeight="1" ht="11.549999999999999">
      <c r="A137" s="996"/>
      <c r="B137" s="1645"/>
      <c r="C137" s="1645"/>
      <c r="D137" s="360"/>
      <c r="J137" s="1650"/>
      <c r="K137" s="1650"/>
      <c r="L137" s="1650"/>
      <c r="N137" s="1169"/>
      <c r="O137" s="1645"/>
      <c r="P137" s="1645"/>
      <c r="Q137" s="1169"/>
      <c r="R137" s="1169"/>
      <c r="S137" s="1169"/>
      <c r="T137" s="1169"/>
      <c r="U137" s="1645"/>
      <c r="V137" s="1169"/>
      <c r="W137" s="1169"/>
      <c r="X137" s="553"/>
      <c r="Y137" s="1169"/>
      <c r="Z137" s="1169"/>
      <c r="AA137" s="1169"/>
      <c r="AB137" s="1169"/>
      <c r="AC137" s="1169"/>
      <c r="AD137" s="1641"/>
      <c r="AE137" s="575"/>
      <c r="AF137" s="575"/>
      <c r="AG137" s="575"/>
      <c r="AH137" s="575"/>
      <c r="AI137" s="1650">
        <v>11</v>
      </c>
    </row>
    <row s="1650" customFormat="1" customHeight="1" ht="11.549999999999999">
      <c r="A138" s="996"/>
      <c r="B138" s="1645"/>
      <c r="C138" s="1645"/>
      <c r="D138" s="360"/>
      <c r="J138" s="1650"/>
      <c r="K138" s="1650"/>
      <c r="L138" s="1650"/>
      <c r="N138" s="1169"/>
      <c r="O138" s="1645"/>
      <c r="P138" s="1645"/>
      <c r="Q138" s="1169"/>
      <c r="R138" s="1169"/>
      <c r="S138" s="1169"/>
      <c r="T138" s="1169"/>
      <c r="U138" s="1645"/>
      <c r="V138" s="1169"/>
      <c r="W138" s="1169"/>
      <c r="X138" s="553"/>
      <c r="Y138" s="1169"/>
      <c r="Z138" s="1169"/>
      <c r="AA138" s="1169"/>
      <c r="AB138" s="1169"/>
      <c r="AC138" s="1169"/>
      <c r="AD138" s="1641"/>
      <c r="AE138" s="575"/>
      <c r="AF138" s="575"/>
      <c r="AG138" s="575"/>
      <c r="AH138" s="575"/>
      <c r="AI138" s="1650">
        <v>11</v>
      </c>
    </row>
    <row s="1650" customFormat="1" customHeight="1" ht="11.549999999999999">
      <c r="A139" s="996"/>
      <c r="B139" s="1645"/>
      <c r="C139" s="1645"/>
      <c r="D139" s="360"/>
      <c r="J139" s="1650"/>
      <c r="K139" s="1650"/>
      <c r="L139" s="1650"/>
      <c r="N139" s="1169"/>
      <c r="O139" s="1645"/>
      <c r="P139" s="1645"/>
      <c r="Q139" s="1169"/>
      <c r="R139" s="1169"/>
      <c r="S139" s="1169"/>
      <c r="T139" s="1169"/>
      <c r="U139" s="1645"/>
      <c r="V139" s="1169"/>
      <c r="W139" s="1169"/>
      <c r="X139" s="553"/>
      <c r="Y139" s="1169"/>
      <c r="Z139" s="1169"/>
      <c r="AA139" s="1169"/>
      <c r="AB139" s="1169"/>
      <c r="AC139" s="1169"/>
      <c r="AD139" s="1641"/>
      <c r="AE139" s="575"/>
      <c r="AF139" s="575"/>
      <c r="AG139" s="575"/>
      <c r="AH139" s="575"/>
      <c r="AI139" s="1650">
        <v>11</v>
      </c>
    </row>
    <row s="1650" customFormat="1" customHeight="1" ht="11.549999999999999">
      <c r="A140" s="996"/>
      <c r="B140" s="1645"/>
      <c r="C140" s="1645"/>
      <c r="D140" s="360"/>
      <c r="J140" s="1650"/>
      <c r="K140" s="1650"/>
      <c r="L140" s="1650"/>
      <c r="N140" s="1169"/>
      <c r="O140" s="1645"/>
      <c r="P140" s="1645"/>
      <c r="Q140" s="1169"/>
      <c r="R140" s="1169"/>
      <c r="S140" s="1169"/>
      <c r="T140" s="1169"/>
      <c r="U140" s="1645"/>
      <c r="V140" s="1169"/>
      <c r="W140" s="1169"/>
      <c r="X140" s="553"/>
      <c r="Y140" s="1169"/>
      <c r="Z140" s="1169"/>
      <c r="AA140" s="1169"/>
      <c r="AB140" s="1169"/>
      <c r="AC140" s="1169"/>
      <c r="AD140" s="1641"/>
      <c r="AE140" s="575"/>
      <c r="AF140" s="575"/>
      <c r="AG140" s="575"/>
      <c r="AH140" s="575"/>
      <c r="AI140" s="1650">
        <v>11</v>
      </c>
    </row>
    <row s="1650" customFormat="1" customHeight="1" ht="11.549999999999999">
      <c r="A141" s="996"/>
      <c r="B141" s="1645"/>
      <c r="C141" s="1645"/>
      <c r="D141" s="360"/>
      <c r="J141" s="1650"/>
      <c r="K141" s="1650"/>
      <c r="L141" s="1650"/>
      <c r="N141" s="1169"/>
      <c r="O141" s="1645"/>
      <c r="P141" s="1645"/>
      <c r="Q141" s="1169"/>
      <c r="R141" s="1169"/>
      <c r="S141" s="1169"/>
      <c r="T141" s="1169"/>
      <c r="U141" s="1645"/>
      <c r="V141" s="1169"/>
      <c r="W141" s="1169"/>
      <c r="X141" s="553"/>
      <c r="Y141" s="1169"/>
      <c r="Z141" s="1169"/>
      <c r="AA141" s="1169"/>
      <c r="AB141" s="1169"/>
      <c r="AC141" s="1169"/>
      <c r="AD141" s="1641"/>
      <c r="AE141" s="575"/>
      <c r="AF141" s="575"/>
      <c r="AG141" s="575"/>
      <c r="AH141" s="575"/>
      <c r="AI141" s="1650">
        <v>11</v>
      </c>
    </row>
    <row s="1650" customFormat="1" customHeight="1" ht="11.549999999999999">
      <c r="A142" s="996"/>
      <c r="B142" s="1645"/>
      <c r="C142" s="1645"/>
      <c r="D142" s="360"/>
      <c r="J142" s="1650"/>
      <c r="K142" s="1650"/>
      <c r="L142" s="1650"/>
      <c r="N142" s="1169"/>
      <c r="O142" s="1645"/>
      <c r="P142" s="1645"/>
      <c r="Q142" s="1169"/>
      <c r="R142" s="1169"/>
      <c r="S142" s="1169"/>
      <c r="T142" s="1169"/>
      <c r="U142" s="1645"/>
      <c r="V142" s="1169"/>
      <c r="W142" s="1169"/>
      <c r="X142" s="553"/>
      <c r="Y142" s="1169"/>
      <c r="Z142" s="1169"/>
      <c r="AA142" s="1169"/>
      <c r="AB142" s="1169"/>
      <c r="AC142" s="1169"/>
      <c r="AD142" s="1641"/>
      <c r="AE142" s="575"/>
      <c r="AF142" s="575"/>
      <c r="AG142" s="575"/>
      <c r="AH142" s="575"/>
      <c r="AI142" s="1650">
        <v>11</v>
      </c>
    </row>
    <row s="1650" customFormat="1" customHeight="1" ht="11.549999999999999">
      <c r="A143" s="996"/>
      <c r="B143" s="1645"/>
      <c r="C143" s="1645"/>
      <c r="D143" s="360"/>
      <c r="J143" s="1650"/>
      <c r="K143" s="1650"/>
      <c r="L143" s="1650"/>
      <c r="N143" s="1169"/>
      <c r="O143" s="1645"/>
      <c r="P143" s="1645"/>
      <c r="Q143" s="1169"/>
      <c r="R143" s="1169"/>
      <c r="S143" s="1169"/>
      <c r="T143" s="1169"/>
      <c r="U143" s="1645"/>
      <c r="V143" s="1169"/>
      <c r="W143" s="1169"/>
      <c r="X143" s="553"/>
      <c r="Y143" s="1169"/>
      <c r="Z143" s="1169"/>
      <c r="AA143" s="1169"/>
      <c r="AB143" s="1169"/>
      <c r="AC143" s="1169"/>
      <c r="AD143" s="1641"/>
      <c r="AE143" s="575"/>
      <c r="AF143" s="575"/>
      <c r="AG143" s="575"/>
      <c r="AH143" s="575"/>
      <c r="AI143" s="1650">
        <v>11</v>
      </c>
    </row>
    <row s="1650" customFormat="1" customHeight="1" ht="11.549999999999999">
      <c r="A144" s="996"/>
      <c r="B144" s="1645"/>
      <c r="C144" s="1645"/>
      <c r="D144" s="360"/>
      <c r="J144" s="1650"/>
      <c r="K144" s="1650"/>
      <c r="L144" s="1650"/>
      <c r="N144" s="1169"/>
      <c r="O144" s="1645"/>
      <c r="P144" s="1645"/>
      <c r="Q144" s="1169"/>
      <c r="R144" s="1169"/>
      <c r="S144" s="1169"/>
      <c r="T144" s="1169"/>
      <c r="U144" s="1645"/>
      <c r="V144" s="1169"/>
      <c r="W144" s="1169"/>
      <c r="X144" s="553"/>
      <c r="Y144" s="1169"/>
      <c r="Z144" s="1169"/>
      <c r="AA144" s="1169"/>
      <c r="AB144" s="1169"/>
      <c r="AC144" s="1169"/>
      <c r="AD144" s="1641"/>
      <c r="AE144" s="575"/>
      <c r="AF144" s="575"/>
      <c r="AG144" s="575"/>
      <c r="AH144" s="575"/>
      <c r="AI144" s="1650">
        <v>11</v>
      </c>
    </row>
    <row s="1650" customFormat="1" customHeight="1" ht="11.549999999999999">
      <c r="A145" s="996"/>
      <c r="B145" s="1645"/>
      <c r="C145" s="1645"/>
      <c r="D145" s="360"/>
      <c r="J145" s="1650"/>
      <c r="K145" s="1650"/>
      <c r="L145" s="1650"/>
      <c r="N145" s="1169"/>
      <c r="O145" s="1645"/>
      <c r="P145" s="1645"/>
      <c r="Q145" s="1169"/>
      <c r="R145" s="1169"/>
      <c r="S145" s="1169"/>
      <c r="T145" s="1169"/>
      <c r="U145" s="1645"/>
      <c r="V145" s="1169"/>
      <c r="W145" s="1169"/>
      <c r="X145" s="553"/>
      <c r="Y145" s="1169"/>
      <c r="Z145" s="1169"/>
      <c r="AA145" s="1169"/>
      <c r="AB145" s="1169"/>
      <c r="AC145" s="1169"/>
      <c r="AD145" s="1641"/>
      <c r="AE145" s="575"/>
      <c r="AF145" s="575"/>
      <c r="AG145" s="575"/>
      <c r="AH145" s="575"/>
      <c r="AI145" s="1650">
        <v>11</v>
      </c>
    </row>
    <row s="1650" customFormat="1" customHeight="1" ht="11.549999999999999">
      <c r="A146" s="996"/>
      <c r="B146" s="1645"/>
      <c r="C146" s="1645"/>
      <c r="D146" s="360"/>
      <c r="J146" s="1650"/>
      <c r="K146" s="1650"/>
      <c r="L146" s="1650"/>
      <c r="N146" s="1169"/>
      <c r="O146" s="1645"/>
      <c r="P146" s="1645"/>
      <c r="Q146" s="1169"/>
      <c r="R146" s="1169"/>
      <c r="S146" s="1169"/>
      <c r="T146" s="1169"/>
      <c r="U146" s="1645"/>
      <c r="V146" s="1169"/>
      <c r="W146" s="1169"/>
      <c r="X146" s="553"/>
      <c r="Y146" s="1169"/>
      <c r="Z146" s="1169"/>
      <c r="AA146" s="1169"/>
      <c r="AB146" s="1169"/>
      <c r="AC146" s="1169"/>
      <c r="AD146" s="1641"/>
      <c r="AE146" s="575"/>
      <c r="AF146" s="575"/>
      <c r="AG146" s="575"/>
      <c r="AH146" s="575"/>
      <c r="AI146" s="1650">
        <v>11</v>
      </c>
    </row>
    <row s="1650" customFormat="1" customHeight="1" ht="11.549999999999999">
      <c r="A147" s="996"/>
      <c r="B147" s="1645"/>
      <c r="C147" s="1645"/>
      <c r="D147" s="360"/>
      <c r="J147" s="1650"/>
      <c r="K147" s="1650"/>
      <c r="L147" s="1650"/>
      <c r="N147" s="1169"/>
      <c r="O147" s="1645"/>
      <c r="P147" s="1645"/>
      <c r="Q147" s="1169"/>
      <c r="R147" s="1169"/>
      <c r="S147" s="1169"/>
      <c r="T147" s="1169"/>
      <c r="U147" s="1645"/>
      <c r="V147" s="1169"/>
      <c r="W147" s="1169"/>
      <c r="X147" s="553"/>
      <c r="Y147" s="1169"/>
      <c r="Z147" s="1169"/>
      <c r="AA147" s="1169"/>
      <c r="AB147" s="1169"/>
      <c r="AC147" s="1169"/>
      <c r="AD147" s="1641"/>
      <c r="AE147" s="575"/>
      <c r="AF147" s="575"/>
      <c r="AG147" s="575"/>
      <c r="AH147" s="575"/>
      <c r="AI147" s="1650">
        <v>11</v>
      </c>
    </row>
    <row s="1650" customFormat="1" customHeight="1" ht="11.549999999999999">
      <c r="A148" s="996"/>
      <c r="B148" s="1645"/>
      <c r="C148" s="1645"/>
      <c r="D148" s="360"/>
      <c r="J148" s="1650"/>
      <c r="K148" s="1650"/>
      <c r="L148" s="1650"/>
      <c r="N148" s="1169"/>
      <c r="O148" s="1645"/>
      <c r="P148" s="1645"/>
      <c r="Q148" s="1169"/>
      <c r="R148" s="1169"/>
      <c r="S148" s="1169"/>
      <c r="T148" s="1169"/>
      <c r="U148" s="1645"/>
      <c r="V148" s="1169"/>
      <c r="W148" s="1169"/>
      <c r="X148" s="553"/>
      <c r="Y148" s="1169"/>
      <c r="Z148" s="1169"/>
      <c r="AA148" s="1169"/>
      <c r="AB148" s="1169"/>
      <c r="AC148" s="1169"/>
      <c r="AD148" s="1641"/>
      <c r="AE148" s="575"/>
      <c r="AF148" s="575"/>
      <c r="AG148" s="575"/>
      <c r="AH148" s="575"/>
      <c r="AI148" s="1650">
        <v>11</v>
      </c>
    </row>
    <row s="1650" customFormat="1" customHeight="1" ht="11.549999999999999">
      <c r="A149" s="996"/>
      <c r="B149" s="1645"/>
      <c r="C149" s="1645"/>
      <c r="D149" s="360"/>
      <c r="J149" s="1650"/>
      <c r="K149" s="1650"/>
      <c r="L149" s="1650"/>
      <c r="N149" s="1169"/>
      <c r="O149" s="1645"/>
      <c r="P149" s="1645"/>
      <c r="Q149" s="1169"/>
      <c r="R149" s="1169"/>
      <c r="S149" s="1169"/>
      <c r="T149" s="1169"/>
      <c r="U149" s="1645"/>
      <c r="V149" s="1169"/>
      <c r="W149" s="1169"/>
      <c r="X149" s="553"/>
      <c r="Y149" s="1169"/>
      <c r="Z149" s="1169"/>
      <c r="AA149" s="1169"/>
      <c r="AB149" s="1169"/>
      <c r="AC149" s="1169"/>
      <c r="AD149" s="1641"/>
      <c r="AE149" s="575"/>
      <c r="AF149" s="575"/>
      <c r="AG149" s="575"/>
      <c r="AH149" s="575"/>
      <c r="AI149" s="1650">
        <v>11</v>
      </c>
    </row>
    <row s="1650" customFormat="1" customHeight="1" ht="11.549999999999999">
      <c r="A150" s="996"/>
      <c r="B150" s="1645"/>
      <c r="C150" s="1645"/>
      <c r="D150" s="360"/>
      <c r="J150" s="1650"/>
      <c r="K150" s="1650"/>
      <c r="L150" s="1650"/>
      <c r="N150" s="1169"/>
      <c r="O150" s="1645"/>
      <c r="P150" s="1645"/>
      <c r="Q150" s="1169"/>
      <c r="R150" s="1169"/>
      <c r="S150" s="1169"/>
      <c r="T150" s="1169"/>
      <c r="U150" s="1645"/>
      <c r="V150" s="1169"/>
      <c r="W150" s="1169"/>
      <c r="X150" s="553"/>
      <c r="Y150" s="1169"/>
      <c r="Z150" s="1169"/>
      <c r="AA150" s="1169"/>
      <c r="AB150" s="1169"/>
      <c r="AC150" s="1169"/>
      <c r="AD150" s="1641"/>
      <c r="AE150" s="575"/>
      <c r="AF150" s="575"/>
      <c r="AG150" s="575"/>
      <c r="AH150" s="575"/>
      <c r="AI150" s="1650">
        <v>11</v>
      </c>
    </row>
    <row s="1650" customFormat="1" customHeight="1" ht="11.549999999999999">
      <c r="A151" s="996"/>
      <c r="B151" s="1645"/>
      <c r="C151" s="1645"/>
      <c r="D151" s="360"/>
      <c r="J151" s="1650"/>
      <c r="K151" s="1650"/>
      <c r="L151" s="1650"/>
      <c r="N151" s="1169"/>
      <c r="O151" s="1645"/>
      <c r="P151" s="1645"/>
      <c r="Q151" s="1169"/>
      <c r="R151" s="1169"/>
      <c r="S151" s="1169"/>
      <c r="T151" s="1169"/>
      <c r="U151" s="1645"/>
      <c r="V151" s="1169"/>
      <c r="W151" s="1169"/>
      <c r="X151" s="553"/>
      <c r="Y151" s="1169"/>
      <c r="Z151" s="1169"/>
      <c r="AA151" s="1169"/>
      <c r="AB151" s="1169"/>
      <c r="AC151" s="1169"/>
      <c r="AD151" s="1641"/>
      <c r="AE151" s="575"/>
      <c r="AF151" s="575"/>
      <c r="AG151" s="575"/>
      <c r="AH151" s="575"/>
      <c r="AI151" s="1650">
        <v>11</v>
      </c>
    </row>
    <row s="1650" customFormat="1" customHeight="1" ht="11.549999999999999">
      <c r="A152" s="996"/>
      <c r="B152" s="1645"/>
      <c r="C152" s="1645"/>
      <c r="D152" s="360"/>
      <c r="J152" s="1650"/>
      <c r="K152" s="1650"/>
      <c r="L152" s="1650"/>
      <c r="N152" s="1169"/>
      <c r="O152" s="1645"/>
      <c r="P152" s="1645"/>
      <c r="Q152" s="1169"/>
      <c r="R152" s="1169"/>
      <c r="S152" s="1169"/>
      <c r="T152" s="1169"/>
      <c r="U152" s="1645"/>
      <c r="V152" s="1169"/>
      <c r="W152" s="1169"/>
      <c r="X152" s="553"/>
      <c r="Y152" s="1169"/>
      <c r="Z152" s="1169"/>
      <c r="AA152" s="1169"/>
      <c r="AB152" s="1169"/>
      <c r="AC152" s="1169"/>
      <c r="AD152" s="1641"/>
      <c r="AE152" s="575"/>
      <c r="AF152" s="575"/>
      <c r="AG152" s="575"/>
      <c r="AH152" s="575"/>
      <c r="AI152" s="1650">
        <v>11</v>
      </c>
    </row>
    <row s="1650" customFormat="1" customHeight="1" ht="11.549999999999999">
      <c r="A153" s="996"/>
      <c r="B153" s="1645"/>
      <c r="C153" s="1645"/>
      <c r="D153" s="360"/>
      <c r="J153" s="1650"/>
      <c r="K153" s="1650"/>
      <c r="L153" s="1650"/>
      <c r="N153" s="1169"/>
      <c r="O153" s="1645"/>
      <c r="P153" s="1645"/>
      <c r="Q153" s="1169"/>
      <c r="R153" s="1169"/>
      <c r="S153" s="1169"/>
      <c r="T153" s="1169"/>
      <c r="U153" s="1645"/>
      <c r="V153" s="1169"/>
      <c r="W153" s="1169"/>
      <c r="X153" s="553"/>
      <c r="Y153" s="1169"/>
      <c r="Z153" s="1169"/>
      <c r="AA153" s="1169"/>
      <c r="AB153" s="1169"/>
      <c r="AC153" s="1169"/>
      <c r="AD153" s="1641"/>
      <c r="AE153" s="575"/>
      <c r="AF153" s="575"/>
      <c r="AG153" s="575"/>
      <c r="AH153" s="575"/>
      <c r="AI153" s="1650">
        <v>11</v>
      </c>
    </row>
    <row s="1650" customFormat="1" customHeight="1" ht="11.549999999999999">
      <c r="A154" s="996"/>
      <c r="B154" s="1645"/>
      <c r="C154" s="1645"/>
      <c r="D154" s="360"/>
      <c r="J154" s="1650"/>
      <c r="K154" s="1650"/>
      <c r="L154" s="1650"/>
      <c r="N154" s="1169"/>
      <c r="O154" s="1645"/>
      <c r="P154" s="1645"/>
      <c r="Q154" s="1169"/>
      <c r="R154" s="1169"/>
      <c r="S154" s="1169"/>
      <c r="T154" s="1169"/>
      <c r="U154" s="1645"/>
      <c r="V154" s="1169"/>
      <c r="W154" s="1169"/>
      <c r="X154" s="553"/>
      <c r="Y154" s="1169"/>
      <c r="Z154" s="1169"/>
      <c r="AA154" s="1169"/>
      <c r="AB154" s="1169"/>
      <c r="AC154" s="1169"/>
      <c r="AD154" s="1641"/>
      <c r="AE154" s="575"/>
      <c r="AF154" s="575"/>
      <c r="AG154" s="575"/>
      <c r="AH154" s="575"/>
      <c r="AI154" s="1650">
        <v>11</v>
      </c>
    </row>
    <row s="1650" customFormat="1" customHeight="1" ht="11.549999999999999">
      <c r="A155" s="996"/>
      <c r="B155" s="1645"/>
      <c r="C155" s="1645"/>
      <c r="D155" s="360"/>
      <c r="J155" s="1650"/>
      <c r="K155" s="1650"/>
      <c r="L155" s="1650"/>
      <c r="N155" s="1169"/>
      <c r="O155" s="1645"/>
      <c r="P155" s="1645"/>
      <c r="Q155" s="1169"/>
      <c r="R155" s="1169"/>
      <c r="S155" s="1169"/>
      <c r="T155" s="1169"/>
      <c r="U155" s="1645"/>
      <c r="V155" s="1169"/>
      <c r="W155" s="1169"/>
      <c r="X155" s="553"/>
      <c r="Y155" s="1169"/>
      <c r="Z155" s="1169"/>
      <c r="AA155" s="1169"/>
      <c r="AB155" s="1169"/>
      <c r="AC155" s="1169"/>
      <c r="AD155" s="1641"/>
      <c r="AE155" s="575"/>
      <c r="AF155" s="575"/>
      <c r="AG155" s="575"/>
      <c r="AH155" s="575"/>
      <c r="AI155" s="1650">
        <v>11</v>
      </c>
    </row>
    <row s="1650" customFormat="1" customHeight="1" ht="11.549999999999999">
      <c r="A156" s="996"/>
      <c r="B156" s="1645"/>
      <c r="C156" s="1645"/>
      <c r="D156" s="360"/>
      <c r="J156" s="1650"/>
      <c r="K156" s="1650"/>
      <c r="L156" s="1650"/>
      <c r="N156" s="1169"/>
      <c r="O156" s="1645"/>
      <c r="P156" s="1645"/>
      <c r="Q156" s="1169"/>
      <c r="R156" s="1169"/>
      <c r="S156" s="1169"/>
      <c r="T156" s="1169"/>
      <c r="U156" s="1645"/>
      <c r="V156" s="1169"/>
      <c r="W156" s="1169"/>
      <c r="X156" s="553"/>
      <c r="Y156" s="1169"/>
      <c r="Z156" s="1169"/>
      <c r="AA156" s="1169"/>
      <c r="AB156" s="1169"/>
      <c r="AC156" s="1169"/>
      <c r="AD156" s="1641"/>
      <c r="AE156" s="575"/>
      <c r="AF156" s="575"/>
      <c r="AG156" s="575"/>
      <c r="AH156" s="575"/>
      <c r="AI156" s="1650">
        <v>11</v>
      </c>
    </row>
    <row s="1650" customFormat="1" customHeight="1" ht="11.549999999999999">
      <c r="A157" s="996"/>
      <c r="B157" s="1645"/>
      <c r="C157" s="1645"/>
      <c r="D157" s="360"/>
      <c r="J157" s="1650"/>
      <c r="K157" s="1650"/>
      <c r="L157" s="1650"/>
      <c r="N157" s="1169"/>
      <c r="O157" s="1645"/>
      <c r="P157" s="1645"/>
      <c r="Q157" s="1169"/>
      <c r="R157" s="1169"/>
      <c r="S157" s="1169"/>
      <c r="T157" s="1169"/>
      <c r="U157" s="1645"/>
      <c r="V157" s="1169"/>
      <c r="W157" s="1169"/>
      <c r="X157" s="553"/>
      <c r="Y157" s="1169"/>
      <c r="Z157" s="1169"/>
      <c r="AA157" s="1169"/>
      <c r="AB157" s="1169"/>
      <c r="AC157" s="1169"/>
      <c r="AD157" s="1641"/>
      <c r="AE157" s="575"/>
      <c r="AF157" s="575"/>
      <c r="AG157" s="575"/>
      <c r="AH157" s="575"/>
      <c r="AI157" s="1650">
        <v>11</v>
      </c>
    </row>
    <row s="1650" customFormat="1" customHeight="1" ht="11.549999999999999">
      <c r="A158" s="996"/>
      <c r="B158" s="1645"/>
      <c r="C158" s="1645"/>
      <c r="D158" s="360"/>
      <c r="J158" s="1650"/>
      <c r="K158" s="1650"/>
      <c r="L158" s="1650"/>
      <c r="N158" s="1169"/>
      <c r="O158" s="1645"/>
      <c r="P158" s="1645"/>
      <c r="Q158" s="1169"/>
      <c r="R158" s="1169"/>
      <c r="S158" s="1169"/>
      <c r="T158" s="1169"/>
      <c r="U158" s="1645"/>
      <c r="V158" s="1169"/>
      <c r="W158" s="1169"/>
      <c r="X158" s="553"/>
      <c r="Y158" s="1169"/>
      <c r="Z158" s="1169"/>
      <c r="AA158" s="1169"/>
      <c r="AB158" s="1169"/>
      <c r="AC158" s="1169"/>
      <c r="AD158" s="1641"/>
      <c r="AE158" s="575"/>
      <c r="AF158" s="575"/>
      <c r="AG158" s="575"/>
      <c r="AH158" s="575"/>
      <c r="AI158" s="1650">
        <v>11</v>
      </c>
    </row>
    <row s="1650" customFormat="1" customHeight="1" ht="11.549999999999999">
      <c r="A159" s="996"/>
      <c r="B159" s="1645"/>
      <c r="C159" s="1645"/>
      <c r="D159" s="360"/>
      <c r="J159" s="1650"/>
      <c r="K159" s="1650"/>
      <c r="L159" s="1650"/>
      <c r="N159" s="1169"/>
      <c r="O159" s="1645"/>
      <c r="P159" s="1645"/>
      <c r="Q159" s="1169"/>
      <c r="R159" s="1169"/>
      <c r="S159" s="1169"/>
      <c r="T159" s="1169"/>
      <c r="U159" s="1645"/>
      <c r="V159" s="1169"/>
      <c r="W159" s="1169"/>
      <c r="X159" s="553"/>
      <c r="Y159" s="1169"/>
      <c r="Z159" s="1169"/>
      <c r="AA159" s="1169"/>
      <c r="AB159" s="1169"/>
      <c r="AC159" s="1169"/>
      <c r="AD159" s="1641"/>
      <c r="AE159" s="575"/>
      <c r="AF159" s="575"/>
      <c r="AG159" s="575"/>
      <c r="AH159" s="575"/>
      <c r="AI159" s="1650">
        <v>11</v>
      </c>
    </row>
    <row s="1650" customFormat="1" customHeight="1" ht="11.549999999999999">
      <c r="A160" s="996"/>
      <c r="B160" s="1645"/>
      <c r="C160" s="1645"/>
      <c r="D160" s="360"/>
      <c r="J160" s="1650"/>
      <c r="K160" s="1650"/>
      <c r="L160" s="1650"/>
      <c r="N160" s="1169"/>
      <c r="O160" s="1645"/>
      <c r="P160" s="1645"/>
      <c r="Q160" s="1169"/>
      <c r="R160" s="1169"/>
      <c r="S160" s="1169"/>
      <c r="T160" s="1169"/>
      <c r="U160" s="1645"/>
      <c r="V160" s="1169"/>
      <c r="W160" s="1169"/>
      <c r="X160" s="553"/>
      <c r="Y160" s="1169"/>
      <c r="Z160" s="1169"/>
      <c r="AA160" s="1169"/>
      <c r="AB160" s="1169"/>
      <c r="AC160" s="1169"/>
      <c r="AD160" s="1641"/>
      <c r="AE160" s="575"/>
      <c r="AF160" s="575"/>
      <c r="AG160" s="575"/>
      <c r="AH160" s="575"/>
      <c r="AI160" s="1650">
        <v>11</v>
      </c>
    </row>
    <row s="1650" customFormat="1" customHeight="1" ht="11.549999999999999">
      <c r="A161" s="996"/>
      <c r="B161" s="1645"/>
      <c r="C161" s="1645"/>
      <c r="D161" s="360"/>
      <c r="J161" s="1650"/>
      <c r="K161" s="1650"/>
      <c r="L161" s="1650"/>
      <c r="N161" s="1169"/>
      <c r="O161" s="1645"/>
      <c r="P161" s="1645"/>
      <c r="Q161" s="1169"/>
      <c r="R161" s="1169"/>
      <c r="S161" s="1169"/>
      <c r="T161" s="1169"/>
      <c r="U161" s="1645"/>
      <c r="V161" s="1169"/>
      <c r="W161" s="1169"/>
      <c r="X161" s="553"/>
      <c r="Y161" s="1169"/>
      <c r="Z161" s="1169"/>
      <c r="AA161" s="1169"/>
      <c r="AB161" s="1169"/>
      <c r="AC161" s="1169"/>
      <c r="AD161" s="1641"/>
      <c r="AE161" s="575"/>
      <c r="AF161" s="575"/>
      <c r="AG161" s="575"/>
      <c r="AH161" s="575"/>
      <c r="AI161" s="1650">
        <v>11</v>
      </c>
    </row>
    <row s="1650" customFormat="1" customHeight="1" ht="11.549999999999999">
      <c r="A162" s="996"/>
      <c r="B162" s="1645"/>
      <c r="C162" s="1645"/>
      <c r="D162" s="360"/>
      <c r="J162" s="1650"/>
      <c r="K162" s="1650"/>
      <c r="L162" s="1650"/>
      <c r="N162" s="1169"/>
      <c r="O162" s="1645"/>
      <c r="P162" s="1645"/>
      <c r="Q162" s="1169"/>
      <c r="R162" s="1169"/>
      <c r="S162" s="1169"/>
      <c r="T162" s="1169"/>
      <c r="U162" s="1645"/>
      <c r="V162" s="1169"/>
      <c r="W162" s="1169"/>
      <c r="X162" s="553"/>
      <c r="Y162" s="1169"/>
      <c r="Z162" s="1169"/>
      <c r="AA162" s="1169"/>
      <c r="AB162" s="1169"/>
      <c r="AC162" s="1169"/>
      <c r="AD162" s="1641"/>
      <c r="AE162" s="575"/>
      <c r="AF162" s="575"/>
      <c r="AG162" s="575"/>
      <c r="AH162" s="575"/>
      <c r="AI162" s="1650">
        <v>11</v>
      </c>
    </row>
    <row s="1650" customFormat="1" customHeight="1" ht="11.549999999999999">
      <c r="A163" s="996"/>
      <c r="B163" s="1645"/>
      <c r="C163" s="1645"/>
      <c r="D163" s="360"/>
      <c r="J163" s="1650"/>
      <c r="K163" s="1650"/>
      <c r="L163" s="1650"/>
      <c r="N163" s="1169"/>
      <c r="O163" s="1645"/>
      <c r="P163" s="1645"/>
      <c r="Q163" s="1169"/>
      <c r="R163" s="1169"/>
      <c r="S163" s="1169"/>
      <c r="T163" s="1169"/>
      <c r="U163" s="1645"/>
      <c r="V163" s="1169"/>
      <c r="W163" s="1169"/>
      <c r="X163" s="553"/>
      <c r="Y163" s="1169"/>
      <c r="Z163" s="1169"/>
      <c r="AA163" s="1169"/>
      <c r="AB163" s="1169"/>
      <c r="AC163" s="1169"/>
      <c r="AD163" s="1641"/>
      <c r="AE163" s="575"/>
      <c r="AF163" s="575"/>
      <c r="AG163" s="575"/>
      <c r="AH163" s="575"/>
      <c r="AI163" s="1650">
        <v>11</v>
      </c>
    </row>
    <row s="1650" customFormat="1" customHeight="1" ht="11.549999999999999">
      <c r="A164" s="996"/>
      <c r="B164" s="1645"/>
      <c r="C164" s="1645"/>
      <c r="D164" s="360"/>
      <c r="J164" s="1650"/>
      <c r="K164" s="1650"/>
      <c r="L164" s="1650"/>
      <c r="N164" s="1169"/>
      <c r="O164" s="1645"/>
      <c r="P164" s="1645"/>
      <c r="Q164" s="1169"/>
      <c r="R164" s="1169"/>
      <c r="S164" s="1169"/>
      <c r="T164" s="1169"/>
      <c r="U164" s="1645"/>
      <c r="V164" s="1169"/>
      <c r="W164" s="1169"/>
      <c r="X164" s="553"/>
      <c r="Y164" s="1169"/>
      <c r="Z164" s="1169"/>
      <c r="AA164" s="1169"/>
      <c r="AB164" s="1169"/>
      <c r="AC164" s="1169"/>
      <c r="AD164" s="1641"/>
      <c r="AE164" s="575"/>
      <c r="AF164" s="575"/>
      <c r="AG164" s="575"/>
      <c r="AH164" s="575"/>
      <c r="AI164" s="1650">
        <v>11</v>
      </c>
    </row>
    <row s="1650" customFormat="1" customHeight="1" ht="11.549999999999999">
      <c r="A165" s="996"/>
      <c r="B165" s="1645"/>
      <c r="C165" s="1645"/>
      <c r="D165" s="360"/>
      <c r="J165" s="1650"/>
      <c r="K165" s="1650"/>
      <c r="L165" s="1650"/>
      <c r="N165" s="1169"/>
      <c r="O165" s="1645"/>
      <c r="P165" s="1645"/>
      <c r="Q165" s="1169"/>
      <c r="R165" s="1169"/>
      <c r="S165" s="1169"/>
      <c r="T165" s="1169"/>
      <c r="U165" s="1645"/>
      <c r="V165" s="1169"/>
      <c r="W165" s="1169"/>
      <c r="X165" s="553"/>
      <c r="Y165" s="1169"/>
      <c r="Z165" s="1169"/>
      <c r="AA165" s="1169"/>
      <c r="AB165" s="1169"/>
      <c r="AC165" s="1169"/>
      <c r="AD165" s="1641"/>
      <c r="AE165" s="575"/>
      <c r="AF165" s="575"/>
      <c r="AG165" s="575"/>
      <c r="AH165" s="575"/>
      <c r="AI165" s="1650">
        <v>11</v>
      </c>
    </row>
    <row s="1650" customFormat="1" customHeight="1" ht="11.549999999999999">
      <c r="A166" s="996"/>
      <c r="B166" s="1645"/>
      <c r="C166" s="1645"/>
      <c r="D166" s="360"/>
      <c r="J166" s="1650"/>
      <c r="K166" s="1650"/>
      <c r="L166" s="1650"/>
      <c r="N166" s="1169"/>
      <c r="O166" s="1645"/>
      <c r="P166" s="1645"/>
      <c r="Q166" s="1169"/>
      <c r="R166" s="1169"/>
      <c r="S166" s="1169"/>
      <c r="T166" s="1169"/>
      <c r="U166" s="1645"/>
      <c r="V166" s="1169"/>
      <c r="W166" s="1169"/>
      <c r="X166" s="553"/>
      <c r="Y166" s="1169"/>
      <c r="Z166" s="1169"/>
      <c r="AA166" s="1169"/>
      <c r="AB166" s="1169"/>
      <c r="AC166" s="1169"/>
      <c r="AD166" s="1641"/>
      <c r="AE166" s="575"/>
      <c r="AF166" s="575"/>
      <c r="AG166" s="575"/>
      <c r="AH166" s="575"/>
      <c r="AI166" s="1650">
        <v>11</v>
      </c>
    </row>
    <row s="1650" customFormat="1" customHeight="1" ht="11.549999999999999">
      <c r="A167" s="996"/>
      <c r="B167" s="1645"/>
      <c r="C167" s="1645"/>
      <c r="D167" s="360"/>
      <c r="J167" s="1650"/>
      <c r="K167" s="1650"/>
      <c r="L167" s="1650"/>
      <c r="N167" s="1169"/>
      <c r="O167" s="1645"/>
      <c r="P167" s="1645"/>
      <c r="Q167" s="1169"/>
      <c r="R167" s="1169"/>
      <c r="S167" s="1169"/>
      <c r="T167" s="1169"/>
      <c r="U167" s="1645"/>
      <c r="V167" s="1169"/>
      <c r="W167" s="1169"/>
      <c r="X167" s="553"/>
      <c r="Y167" s="1169"/>
      <c r="Z167" s="1169"/>
      <c r="AA167" s="1169"/>
      <c r="AB167" s="1169"/>
      <c r="AC167" s="1169"/>
      <c r="AD167" s="1641"/>
      <c r="AE167" s="575"/>
      <c r="AF167" s="575"/>
      <c r="AG167" s="575"/>
      <c r="AH167" s="575"/>
      <c r="AI167" s="1650">
        <v>11</v>
      </c>
    </row>
    <row s="1650" customFormat="1" customHeight="1" ht="11.549999999999999">
      <c r="A168" s="996"/>
      <c r="B168" s="1645"/>
      <c r="C168" s="1645"/>
      <c r="D168" s="360"/>
      <c r="J168" s="1650"/>
      <c r="K168" s="1650"/>
      <c r="L168" s="1650"/>
      <c r="N168" s="1169"/>
      <c r="O168" s="1645"/>
      <c r="P168" s="1645"/>
      <c r="Q168" s="1169"/>
      <c r="R168" s="1169"/>
      <c r="S168" s="1169"/>
      <c r="T168" s="1169"/>
      <c r="U168" s="1645"/>
      <c r="V168" s="1169"/>
      <c r="W168" s="1169"/>
      <c r="X168" s="553"/>
      <c r="Y168" s="1169"/>
      <c r="Z168" s="1169"/>
      <c r="AA168" s="1169"/>
      <c r="AB168" s="1169"/>
      <c r="AC168" s="1169"/>
      <c r="AD168" s="1641"/>
      <c r="AE168" s="575"/>
      <c r="AF168" s="575"/>
      <c r="AG168" s="575"/>
      <c r="AH168" s="575"/>
      <c r="AI168" s="1650">
        <v>11</v>
      </c>
    </row>
    <row s="1650" customFormat="1" customHeight="1" ht="11.549999999999999">
      <c r="A169" s="996"/>
      <c r="B169" s="1645"/>
      <c r="C169" s="1645"/>
      <c r="D169" s="360"/>
      <c r="J169" s="1650"/>
      <c r="K169" s="1650"/>
      <c r="L169" s="1650"/>
      <c r="N169" s="1169"/>
      <c r="O169" s="1645"/>
      <c r="P169" s="1645"/>
      <c r="Q169" s="1169"/>
      <c r="R169" s="1169"/>
      <c r="S169" s="1169"/>
      <c r="T169" s="1169"/>
      <c r="U169" s="1645"/>
      <c r="V169" s="1169"/>
      <c r="W169" s="1169"/>
      <c r="X169" s="553"/>
      <c r="Y169" s="1169"/>
      <c r="Z169" s="1169"/>
      <c r="AA169" s="1169"/>
      <c r="AB169" s="1169"/>
      <c r="AC169" s="1169"/>
      <c r="AD169" s="1641"/>
      <c r="AE169" s="575"/>
      <c r="AF169" s="575"/>
      <c r="AG169" s="575"/>
      <c r="AH169" s="575"/>
      <c r="AI169" s="1650">
        <v>11</v>
      </c>
    </row>
    <row s="1650" customFormat="1" customHeight="1" ht="11.549999999999999">
      <c r="A170" s="996"/>
      <c r="B170" s="1645"/>
      <c r="C170" s="1645"/>
      <c r="D170" s="360"/>
      <c r="J170" s="1650"/>
      <c r="K170" s="1650"/>
      <c r="L170" s="1650"/>
      <c r="N170" s="1169"/>
      <c r="O170" s="1645"/>
      <c r="P170" s="1645"/>
      <c r="Q170" s="1169"/>
      <c r="R170" s="1169"/>
      <c r="S170" s="1169"/>
      <c r="T170" s="1169"/>
      <c r="U170" s="1645"/>
      <c r="V170" s="1169"/>
      <c r="W170" s="1169"/>
      <c r="X170" s="553"/>
      <c r="Y170" s="1169"/>
      <c r="Z170" s="1169"/>
      <c r="AA170" s="1169"/>
      <c r="AB170" s="1169"/>
      <c r="AC170" s="1169"/>
      <c r="AD170" s="1641"/>
      <c r="AE170" s="575"/>
      <c r="AF170" s="575"/>
      <c r="AG170" s="575"/>
      <c r="AH170" s="575"/>
      <c r="AI170" s="1650">
        <v>11</v>
      </c>
    </row>
    <row s="1650" customFormat="1" customHeight="1" ht="11.549999999999999">
      <c r="A171" s="996"/>
      <c r="B171" s="1645"/>
      <c r="C171" s="1645"/>
      <c r="D171" s="360"/>
      <c r="J171" s="1650"/>
      <c r="K171" s="1650"/>
      <c r="L171" s="1650"/>
      <c r="N171" s="1169"/>
      <c r="O171" s="1645"/>
      <c r="P171" s="1645"/>
      <c r="Q171" s="1169"/>
      <c r="R171" s="1169"/>
      <c r="S171" s="1169"/>
      <c r="T171" s="1169"/>
      <c r="U171" s="1645"/>
      <c r="V171" s="1169"/>
      <c r="W171" s="1169"/>
      <c r="X171" s="553"/>
      <c r="Y171" s="1169"/>
      <c r="Z171" s="1169"/>
      <c r="AA171" s="1169"/>
      <c r="AB171" s="1169"/>
      <c r="AC171" s="1169"/>
      <c r="AD171" s="1641"/>
      <c r="AE171" s="575"/>
      <c r="AF171" s="575"/>
      <c r="AG171" s="575"/>
      <c r="AH171" s="575"/>
      <c r="AI171" s="1650">
        <v>11</v>
      </c>
    </row>
    <row s="1650" customFormat="1" customHeight="1" ht="11.549999999999999">
      <c r="A172" s="996"/>
      <c r="B172" s="1645"/>
      <c r="C172" s="1645"/>
      <c r="D172" s="360"/>
      <c r="J172" s="1650"/>
      <c r="K172" s="1650"/>
      <c r="L172" s="1650"/>
      <c r="N172" s="1169"/>
      <c r="O172" s="1645"/>
      <c r="P172" s="1645"/>
      <c r="Q172" s="1169"/>
      <c r="R172" s="1169"/>
      <c r="S172" s="1169"/>
      <c r="T172" s="1169"/>
      <c r="U172" s="1645"/>
      <c r="V172" s="1169"/>
      <c r="W172" s="1169"/>
      <c r="X172" s="553"/>
      <c r="Y172" s="1169"/>
      <c r="Z172" s="1169"/>
      <c r="AA172" s="1169"/>
      <c r="AB172" s="1169"/>
      <c r="AC172" s="1169"/>
      <c r="AD172" s="1641"/>
      <c r="AE172" s="575"/>
      <c r="AF172" s="575"/>
      <c r="AG172" s="575"/>
      <c r="AH172" s="575"/>
      <c r="AI172" s="1650">
        <v>11</v>
      </c>
    </row>
    <row s="1650" customFormat="1" customHeight="1" ht="11.549999999999999">
      <c r="A173" s="996"/>
      <c r="B173" s="1645"/>
      <c r="C173" s="1645"/>
      <c r="D173" s="360"/>
      <c r="J173" s="1650"/>
      <c r="K173" s="1650"/>
      <c r="L173" s="1650"/>
      <c r="N173" s="1169"/>
      <c r="O173" s="1645"/>
      <c r="P173" s="1645"/>
      <c r="Q173" s="1169"/>
      <c r="R173" s="1169"/>
      <c r="S173" s="1169"/>
      <c r="T173" s="1169"/>
      <c r="U173" s="1645"/>
      <c r="V173" s="1169"/>
      <c r="W173" s="1169"/>
      <c r="X173" s="553"/>
      <c r="Y173" s="1169"/>
      <c r="Z173" s="1169"/>
      <c r="AA173" s="1169"/>
      <c r="AB173" s="1169"/>
      <c r="AC173" s="1169"/>
      <c r="AD173" s="1641"/>
      <c r="AE173" s="575"/>
      <c r="AF173" s="575"/>
      <c r="AG173" s="575"/>
      <c r="AH173" s="575"/>
      <c r="AI173" s="1650">
        <v>11</v>
      </c>
    </row>
    <row s="1650" customFormat="1" customHeight="1" ht="11.549999999999999">
      <c r="A174" s="996"/>
      <c r="B174" s="1645"/>
      <c r="C174" s="1645"/>
      <c r="D174" s="360"/>
      <c r="J174" s="1650"/>
      <c r="K174" s="1650"/>
      <c r="L174" s="1650"/>
      <c r="N174" s="1169"/>
      <c r="O174" s="1645"/>
      <c r="P174" s="1645"/>
      <c r="Q174" s="1169"/>
      <c r="R174" s="1169"/>
      <c r="S174" s="1169"/>
      <c r="T174" s="1169"/>
      <c r="U174" s="1645"/>
      <c r="V174" s="1169"/>
      <c r="W174" s="1169"/>
      <c r="X174" s="553"/>
      <c r="Y174" s="1169"/>
      <c r="Z174" s="1169"/>
      <c r="AA174" s="1169"/>
      <c r="AB174" s="1169"/>
      <c r="AC174" s="1169"/>
      <c r="AD174" s="1641"/>
      <c r="AE174" s="575"/>
      <c r="AF174" s="575"/>
      <c r="AG174" s="575"/>
      <c r="AH174" s="575"/>
      <c r="AI174" s="1650">
        <v>11</v>
      </c>
    </row>
    <row s="1650" customFormat="1" customHeight="1" ht="11.549999999999999">
      <c r="A175" s="996"/>
      <c r="B175" s="1645"/>
      <c r="C175" s="1645"/>
      <c r="D175" s="360"/>
      <c r="J175" s="1650"/>
      <c r="K175" s="1650"/>
      <c r="L175" s="1650"/>
      <c r="N175" s="1169"/>
      <c r="O175" s="1645"/>
      <c r="P175" s="1645"/>
      <c r="Q175" s="1169"/>
      <c r="R175" s="1169"/>
      <c r="S175" s="1169"/>
      <c r="T175" s="1169"/>
      <c r="U175" s="1645"/>
      <c r="V175" s="1169"/>
      <c r="W175" s="1169"/>
      <c r="X175" s="553"/>
      <c r="Y175" s="1169"/>
      <c r="Z175" s="1169"/>
      <c r="AA175" s="1169"/>
      <c r="AB175" s="1169"/>
      <c r="AC175" s="1169"/>
      <c r="AD175" s="1641"/>
      <c r="AE175" s="575"/>
      <c r="AF175" s="575"/>
      <c r="AG175" s="575"/>
      <c r="AH175" s="575"/>
      <c r="AI175" s="1650">
        <v>11</v>
      </c>
    </row>
    <row s="1650" customFormat="1" customHeight="1" ht="11.549999999999999">
      <c r="A176" s="996"/>
      <c r="B176" s="1645"/>
      <c r="C176" s="1645"/>
      <c r="D176" s="360"/>
      <c r="J176" s="1650"/>
      <c r="K176" s="1650"/>
      <c r="L176" s="1650"/>
      <c r="N176" s="1169"/>
      <c r="O176" s="1645"/>
      <c r="P176" s="1645"/>
      <c r="Q176" s="1169"/>
      <c r="R176" s="1169"/>
      <c r="S176" s="1169"/>
      <c r="T176" s="1169"/>
      <c r="U176" s="1645"/>
      <c r="V176" s="1169"/>
      <c r="W176" s="1169"/>
      <c r="X176" s="553"/>
      <c r="Y176" s="1169"/>
      <c r="Z176" s="1169"/>
      <c r="AA176" s="1169"/>
      <c r="AB176" s="1169"/>
      <c r="AC176" s="1169"/>
      <c r="AD176" s="1641"/>
      <c r="AE176" s="575"/>
      <c r="AF176" s="575"/>
      <c r="AG176" s="575"/>
      <c r="AH176" s="575"/>
      <c r="AI176" s="1650">
        <v>11</v>
      </c>
    </row>
    <row s="1650" customFormat="1" customHeight="1" ht="11.549999999999999">
      <c r="A177" s="996"/>
      <c r="B177" s="1645"/>
      <c r="C177" s="1645"/>
      <c r="D177" s="360"/>
      <c r="J177" s="1650"/>
      <c r="K177" s="1650"/>
      <c r="L177" s="1650"/>
      <c r="N177" s="1169"/>
      <c r="O177" s="1645"/>
      <c r="P177" s="1645"/>
      <c r="Q177" s="1169"/>
      <c r="R177" s="1169"/>
      <c r="S177" s="1169"/>
      <c r="T177" s="1169"/>
      <c r="U177" s="1645"/>
      <c r="V177" s="1169"/>
      <c r="W177" s="1169"/>
      <c r="X177" s="553"/>
      <c r="Y177" s="1169"/>
      <c r="Z177" s="1169"/>
      <c r="AA177" s="1169"/>
      <c r="AB177" s="1169"/>
      <c r="AC177" s="1169"/>
      <c r="AD177" s="1641"/>
      <c r="AE177" s="575"/>
      <c r="AF177" s="575"/>
      <c r="AG177" s="575"/>
      <c r="AH177" s="575"/>
      <c r="AI177" s="1650">
        <v>11</v>
      </c>
    </row>
    <row s="1650" customFormat="1" customHeight="1" ht="11.549999999999999">
      <c r="A178" s="996"/>
      <c r="B178" s="1645"/>
      <c r="C178" s="1645"/>
      <c r="D178" s="360"/>
      <c r="J178" s="1650"/>
      <c r="K178" s="1650"/>
      <c r="L178" s="1650"/>
      <c r="N178" s="1169"/>
      <c r="O178" s="1645"/>
      <c r="P178" s="1645"/>
      <c r="Q178" s="1169"/>
      <c r="R178" s="1169"/>
      <c r="S178" s="1169"/>
      <c r="T178" s="1169"/>
      <c r="U178" s="1645"/>
      <c r="V178" s="1169"/>
      <c r="W178" s="1169"/>
      <c r="X178" s="553"/>
      <c r="Y178" s="1169"/>
      <c r="Z178" s="1169"/>
      <c r="AA178" s="1169"/>
      <c r="AB178" s="1169"/>
      <c r="AC178" s="1169"/>
      <c r="AD178" s="1641"/>
      <c r="AE178" s="575"/>
      <c r="AF178" s="575"/>
      <c r="AG178" s="575"/>
      <c r="AH178" s="575"/>
      <c r="AI178" s="1650">
        <v>11</v>
      </c>
    </row>
    <row s="1650" customFormat="1" customHeight="1" ht="11.549999999999999">
      <c r="A179" s="996"/>
      <c r="B179" s="1645"/>
      <c r="C179" s="1645"/>
      <c r="D179" s="360"/>
      <c r="J179" s="1650"/>
      <c r="K179" s="1650"/>
      <c r="L179" s="1650"/>
      <c r="N179" s="1169"/>
      <c r="O179" s="1645"/>
      <c r="P179" s="1645"/>
      <c r="Q179" s="1169"/>
      <c r="R179" s="1169"/>
      <c r="S179" s="1169"/>
      <c r="T179" s="1169"/>
      <c r="U179" s="1645"/>
      <c r="V179" s="1169"/>
      <c r="W179" s="1169"/>
      <c r="X179" s="553"/>
      <c r="Y179" s="1169"/>
      <c r="Z179" s="1169"/>
      <c r="AA179" s="1169"/>
      <c r="AB179" s="1169"/>
      <c r="AC179" s="1169"/>
      <c r="AD179" s="1641"/>
      <c r="AE179" s="575"/>
      <c r="AF179" s="575"/>
      <c r="AG179" s="575"/>
      <c r="AH179" s="575"/>
      <c r="AI179" s="1650">
        <v>11</v>
      </c>
    </row>
    <row s="1650" customFormat="1" customHeight="1" ht="11.549999999999999">
      <c r="A180" s="996"/>
      <c r="B180" s="1645"/>
      <c r="C180" s="1645"/>
      <c r="D180" s="360"/>
      <c r="J180" s="1650"/>
      <c r="K180" s="1650"/>
      <c r="L180" s="1650"/>
      <c r="N180" s="1169"/>
      <c r="O180" s="1645"/>
      <c r="P180" s="1645"/>
      <c r="Q180" s="1169"/>
      <c r="R180" s="1169"/>
      <c r="S180" s="1169"/>
      <c r="T180" s="1169"/>
      <c r="U180" s="1645"/>
      <c r="V180" s="1169"/>
      <c r="W180" s="1169"/>
      <c r="X180" s="553"/>
      <c r="Y180" s="1169"/>
      <c r="Z180" s="1169"/>
      <c r="AA180" s="1169"/>
      <c r="AB180" s="1169"/>
      <c r="AC180" s="1169"/>
      <c r="AD180" s="1641"/>
      <c r="AE180" s="575"/>
      <c r="AF180" s="575"/>
      <c r="AG180" s="575"/>
      <c r="AH180" s="575"/>
      <c r="AI180" s="1650">
        <v>11</v>
      </c>
    </row>
    <row s="1650" customFormat="1" customHeight="1" ht="11.549999999999999">
      <c r="A181" s="996"/>
      <c r="B181" s="1645"/>
      <c r="C181" s="1645"/>
      <c r="D181" s="360"/>
      <c r="J181" s="1650"/>
      <c r="K181" s="1650"/>
      <c r="L181" s="1650"/>
      <c r="N181" s="1169"/>
      <c r="O181" s="1645"/>
      <c r="P181" s="1645"/>
      <c r="Q181" s="1169"/>
      <c r="R181" s="1169"/>
      <c r="S181" s="1169"/>
      <c r="T181" s="1169"/>
      <c r="U181" s="1645"/>
      <c r="V181" s="1169"/>
      <c r="W181" s="1169"/>
      <c r="X181" s="553"/>
      <c r="Y181" s="1169"/>
      <c r="Z181" s="1169"/>
      <c r="AA181" s="1169"/>
      <c r="AB181" s="1169"/>
      <c r="AC181" s="1169"/>
      <c r="AD181" s="1641"/>
      <c r="AE181" s="575"/>
      <c r="AF181" s="575"/>
      <c r="AG181" s="575"/>
      <c r="AH181" s="575"/>
      <c r="AI181" s="1650">
        <v>11</v>
      </c>
    </row>
    <row s="1650" customFormat="1" customHeight="1" ht="11.549999999999999">
      <c r="A182" s="996"/>
      <c r="B182" s="1645"/>
      <c r="C182" s="1645"/>
      <c r="D182" s="360"/>
      <c r="J182" s="1650"/>
      <c r="K182" s="1650"/>
      <c r="L182" s="1650"/>
      <c r="N182" s="1169"/>
      <c r="O182" s="1645"/>
      <c r="P182" s="1645"/>
      <c r="Q182" s="1169"/>
      <c r="R182" s="1169"/>
      <c r="S182" s="1169"/>
      <c r="T182" s="1169"/>
      <c r="U182" s="1645"/>
      <c r="V182" s="1169"/>
      <c r="W182" s="1169"/>
      <c r="X182" s="553"/>
      <c r="Y182" s="1169"/>
      <c r="Z182" s="1169"/>
      <c r="AA182" s="1169"/>
      <c r="AB182" s="1169"/>
      <c r="AC182" s="1169"/>
      <c r="AD182" s="1641"/>
      <c r="AE182" s="575"/>
      <c r="AF182" s="575"/>
      <c r="AG182" s="575"/>
      <c r="AH182" s="575"/>
      <c r="AI182" s="1650">
        <v>11</v>
      </c>
    </row>
    <row s="1650" customFormat="1" customHeight="1" ht="11.549999999999999">
      <c r="A183" s="996"/>
      <c r="B183" s="1645"/>
      <c r="C183" s="1645"/>
      <c r="D183" s="360"/>
      <c r="J183" s="1650"/>
      <c r="K183" s="1650"/>
      <c r="L183" s="1650"/>
      <c r="N183" s="1169"/>
      <c r="O183" s="1645"/>
      <c r="P183" s="1645"/>
      <c r="Q183" s="1169"/>
      <c r="R183" s="1169"/>
      <c r="S183" s="1169"/>
      <c r="T183" s="1169"/>
      <c r="U183" s="1645"/>
      <c r="V183" s="1169"/>
      <c r="W183" s="1169"/>
      <c r="X183" s="553"/>
      <c r="Y183" s="1169"/>
      <c r="Z183" s="1169"/>
      <c r="AA183" s="1169"/>
      <c r="AB183" s="1169"/>
      <c r="AC183" s="1169"/>
      <c r="AD183" s="1641"/>
      <c r="AE183" s="575"/>
      <c r="AF183" s="575"/>
      <c r="AG183" s="575"/>
      <c r="AH183" s="575"/>
      <c r="AI183" s="1650">
        <v>11</v>
      </c>
    </row>
    <row s="1650" customFormat="1" customHeight="1" ht="11.549999999999999">
      <c r="A184" s="996"/>
      <c r="B184" s="1645"/>
      <c r="C184" s="1645"/>
      <c r="D184" s="360"/>
      <c r="J184" s="1650"/>
      <c r="K184" s="1650"/>
      <c r="L184" s="1650"/>
      <c r="N184" s="1169"/>
      <c r="O184" s="1645"/>
      <c r="P184" s="1645"/>
      <c r="Q184" s="1169"/>
      <c r="R184" s="1169"/>
      <c r="S184" s="1169"/>
      <c r="T184" s="1169"/>
      <c r="U184" s="1645"/>
      <c r="V184" s="1169"/>
      <c r="W184" s="1169"/>
      <c r="X184" s="553"/>
      <c r="Y184" s="1169"/>
      <c r="Z184" s="1169"/>
      <c r="AA184" s="1169"/>
      <c r="AB184" s="1169"/>
      <c r="AC184" s="1169"/>
      <c r="AD184" s="1641"/>
      <c r="AE184" s="575"/>
      <c r="AF184" s="575"/>
      <c r="AG184" s="575"/>
      <c r="AH184" s="575"/>
      <c r="AI184" s="1650">
        <v>11</v>
      </c>
    </row>
    <row s="1650" customFormat="1" customHeight="1" ht="11.549999999999999">
      <c r="A185" s="996"/>
      <c r="B185" s="1645"/>
      <c r="C185" s="1645"/>
      <c r="D185" s="360"/>
      <c r="J185" s="1650"/>
      <c r="K185" s="1650"/>
      <c r="L185" s="1650"/>
      <c r="N185" s="1169"/>
      <c r="O185" s="1645"/>
      <c r="P185" s="1645"/>
      <c r="Q185" s="1169"/>
      <c r="R185" s="1169"/>
      <c r="S185" s="1169"/>
      <c r="T185" s="1169"/>
      <c r="U185" s="1645"/>
      <c r="V185" s="1169"/>
      <c r="W185" s="1169"/>
      <c r="X185" s="553"/>
      <c r="Y185" s="1169"/>
      <c r="Z185" s="1169"/>
      <c r="AA185" s="1169"/>
      <c r="AB185" s="1169"/>
      <c r="AC185" s="1169"/>
      <c r="AD185" s="1641"/>
      <c r="AE185" s="575"/>
      <c r="AF185" s="575"/>
      <c r="AG185" s="575"/>
      <c r="AH185" s="575"/>
      <c r="AI185" s="1650">
        <v>11</v>
      </c>
    </row>
    <row s="1650" customFormat="1" customHeight="1" ht="11.549999999999999">
      <c r="A186" s="996"/>
      <c r="B186" s="1645"/>
      <c r="C186" s="1645"/>
      <c r="D186" s="360"/>
      <c r="J186" s="1650"/>
      <c r="K186" s="1650"/>
      <c r="L186" s="1650"/>
      <c r="N186" s="1169"/>
      <c r="O186" s="1645"/>
      <c r="P186" s="1645"/>
      <c r="Q186" s="1169"/>
      <c r="R186" s="1169"/>
      <c r="S186" s="1169"/>
      <c r="T186" s="1169"/>
      <c r="U186" s="1645"/>
      <c r="V186" s="1169"/>
      <c r="W186" s="1169"/>
      <c r="X186" s="553"/>
      <c r="Y186" s="1169"/>
      <c r="Z186" s="1169"/>
      <c r="AA186" s="1169"/>
      <c r="AB186" s="1169"/>
      <c r="AC186" s="1169"/>
      <c r="AD186" s="1641"/>
      <c r="AE186" s="575"/>
      <c r="AF186" s="575"/>
      <c r="AG186" s="575"/>
      <c r="AH186" s="575"/>
      <c r="AI186" s="1650">
        <v>11</v>
      </c>
    </row>
    <row s="1650" customFormat="1" customHeight="1" ht="11.549999999999999">
      <c r="A187" s="996"/>
      <c r="B187" s="1645"/>
      <c r="C187" s="1645"/>
      <c r="D187" s="360"/>
      <c r="J187" s="1650"/>
      <c r="K187" s="1650"/>
      <c r="L187" s="1650"/>
      <c r="N187" s="1169"/>
      <c r="O187" s="1645"/>
      <c r="P187" s="1645"/>
      <c r="Q187" s="1169"/>
      <c r="R187" s="1169"/>
      <c r="S187" s="1169"/>
      <c r="T187" s="1169"/>
      <c r="U187" s="1645"/>
      <c r="V187" s="1169"/>
      <c r="W187" s="1169"/>
      <c r="X187" s="553"/>
      <c r="Y187" s="1169"/>
      <c r="Z187" s="1169"/>
      <c r="AA187" s="1169"/>
      <c r="AB187" s="1169"/>
      <c r="AC187" s="1169"/>
      <c r="AD187" s="1641"/>
      <c r="AE187" s="575"/>
      <c r="AF187" s="575"/>
      <c r="AG187" s="575"/>
      <c r="AH187" s="575"/>
      <c r="AI187" s="1650">
        <v>11</v>
      </c>
    </row>
    <row s="1650" customFormat="1" customHeight="1" ht="11.549999999999999">
      <c r="A188" s="996"/>
      <c r="B188" s="1645"/>
      <c r="C188" s="1645"/>
      <c r="D188" s="360"/>
      <c r="J188" s="1650"/>
      <c r="K188" s="1650"/>
      <c r="L188" s="1650"/>
      <c r="N188" s="1169"/>
      <c r="O188" s="1645"/>
      <c r="P188" s="1645"/>
      <c r="Q188" s="1169"/>
      <c r="R188" s="1169"/>
      <c r="S188" s="1169"/>
      <c r="T188" s="1169"/>
      <c r="U188" s="1645"/>
      <c r="V188" s="1169"/>
      <c r="W188" s="1169"/>
      <c r="X188" s="553"/>
      <c r="Y188" s="1169"/>
      <c r="Z188" s="1169"/>
      <c r="AA188" s="1169"/>
      <c r="AB188" s="1169"/>
      <c r="AC188" s="1169"/>
      <c r="AD188" s="1641"/>
      <c r="AE188" s="575"/>
      <c r="AF188" s="575"/>
      <c r="AG188" s="575"/>
      <c r="AH188" s="575"/>
      <c r="AI188" s="1650">
        <v>11</v>
      </c>
    </row>
    <row s="1650" customFormat="1" customHeight="1" ht="11.549999999999999">
      <c r="A189" s="996"/>
      <c r="B189" s="1645"/>
      <c r="C189" s="1645"/>
      <c r="D189" s="360"/>
      <c r="J189" s="1650"/>
      <c r="K189" s="1650"/>
      <c r="L189" s="1650"/>
      <c r="N189" s="1169"/>
      <c r="O189" s="1645"/>
      <c r="P189" s="1645"/>
      <c r="Q189" s="1169"/>
      <c r="R189" s="1169"/>
      <c r="S189" s="1169"/>
      <c r="T189" s="1169"/>
      <c r="U189" s="1645"/>
      <c r="V189" s="1169"/>
      <c r="W189" s="1169"/>
      <c r="X189" s="553"/>
      <c r="Y189" s="1169"/>
      <c r="Z189" s="1169"/>
      <c r="AA189" s="1169"/>
      <c r="AB189" s="1169"/>
      <c r="AC189" s="1169"/>
      <c r="AD189" s="1641"/>
      <c r="AE189" s="575"/>
      <c r="AF189" s="575"/>
      <c r="AG189" s="575"/>
      <c r="AH189" s="575"/>
      <c r="AI189" s="1650">
        <v>11</v>
      </c>
    </row>
    <row s="1650" customFormat="1" customHeight="1" ht="11.549999999999999">
      <c r="A190" s="996"/>
      <c r="B190" s="1645"/>
      <c r="C190" s="1645"/>
      <c r="D190" s="360"/>
      <c r="J190" s="1650"/>
      <c r="K190" s="1650"/>
      <c r="L190" s="1650"/>
      <c r="N190" s="1169"/>
      <c r="O190" s="1645"/>
      <c r="P190" s="1645"/>
      <c r="Q190" s="1169"/>
      <c r="R190" s="1169"/>
      <c r="S190" s="1169"/>
      <c r="T190" s="1169"/>
      <c r="U190" s="1645"/>
      <c r="V190" s="1169"/>
      <c r="W190" s="1169"/>
      <c r="X190" s="553"/>
      <c r="Y190" s="1169"/>
      <c r="Z190" s="1169"/>
      <c r="AA190" s="1169"/>
      <c r="AB190" s="1169"/>
      <c r="AC190" s="1169"/>
      <c r="AD190" s="1641"/>
      <c r="AE190" s="575"/>
      <c r="AF190" s="575"/>
      <c r="AG190" s="575"/>
      <c r="AH190" s="575"/>
      <c r="AI190" s="1650">
        <v>11</v>
      </c>
    </row>
    <row s="1650" customFormat="1" customHeight="1" ht="11.549999999999999">
      <c r="A191" s="996"/>
      <c r="B191" s="1645"/>
      <c r="C191" s="1645"/>
      <c r="D191" s="360"/>
      <c r="J191" s="1650"/>
      <c r="K191" s="1650"/>
      <c r="L191" s="1650"/>
      <c r="N191" s="1169"/>
      <c r="O191" s="1645"/>
      <c r="P191" s="1645"/>
      <c r="Q191" s="1169"/>
      <c r="R191" s="1169"/>
      <c r="S191" s="1169"/>
      <c r="T191" s="1169"/>
      <c r="U191" s="1645"/>
      <c r="V191" s="1169"/>
      <c r="W191" s="1169"/>
      <c r="X191" s="553"/>
      <c r="Y191" s="1169"/>
      <c r="Z191" s="1169"/>
      <c r="AA191" s="1169"/>
      <c r="AB191" s="1169"/>
      <c r="AC191" s="1169"/>
      <c r="AD191" s="1641"/>
      <c r="AE191" s="575"/>
      <c r="AF191" s="575"/>
      <c r="AG191" s="575"/>
      <c r="AH191" s="575"/>
      <c r="AI191" s="1650">
        <v>11</v>
      </c>
    </row>
    <row s="1650" customFormat="1" customHeight="1" ht="11.549999999999999">
      <c r="A192" s="996"/>
      <c r="B192" s="1645"/>
      <c r="C192" s="1645"/>
      <c r="D192" s="360"/>
      <c r="J192" s="1650"/>
      <c r="K192" s="1650"/>
      <c r="L192" s="1650"/>
      <c r="N192" s="1169"/>
      <c r="O192" s="1645"/>
      <c r="P192" s="1645"/>
      <c r="Q192" s="1169"/>
      <c r="R192" s="1169"/>
      <c r="S192" s="1169"/>
      <c r="T192" s="1169"/>
      <c r="U192" s="1645"/>
      <c r="V192" s="1169"/>
      <c r="W192" s="1169"/>
      <c r="X192" s="553"/>
      <c r="Y192" s="1169"/>
      <c r="Z192" s="1169"/>
      <c r="AA192" s="1169"/>
      <c r="AB192" s="1169"/>
      <c r="AC192" s="1169"/>
      <c r="AD192" s="1641"/>
      <c r="AE192" s="575"/>
      <c r="AF192" s="575"/>
      <c r="AG192" s="575"/>
      <c r="AH192" s="575"/>
      <c r="AI192" s="1650">
        <v>11</v>
      </c>
    </row>
    <row s="1650" customFormat="1" customHeight="1" ht="11.549999999999999">
      <c r="A193" s="996"/>
      <c r="B193" s="1645"/>
      <c r="C193" s="1645"/>
      <c r="D193" s="360"/>
      <c r="J193" s="1650"/>
      <c r="K193" s="1650"/>
      <c r="L193" s="1650"/>
      <c r="N193" s="1169"/>
      <c r="O193" s="1645"/>
      <c r="P193" s="1645"/>
      <c r="Q193" s="1169"/>
      <c r="R193" s="1169"/>
      <c r="S193" s="1169"/>
      <c r="T193" s="1169"/>
      <c r="U193" s="1645"/>
      <c r="V193" s="1169"/>
      <c r="W193" s="1169"/>
      <c r="X193" s="553"/>
      <c r="Y193" s="1169"/>
      <c r="Z193" s="1169"/>
      <c r="AA193" s="1169"/>
      <c r="AB193" s="1169"/>
      <c r="AC193" s="1169"/>
      <c r="AD193" s="1641"/>
      <c r="AE193" s="575"/>
      <c r="AF193" s="575"/>
      <c r="AG193" s="575"/>
      <c r="AH193" s="575"/>
      <c r="AI193" s="1650">
        <v>11</v>
      </c>
    </row>
    <row s="1650" customFormat="1" customHeight="1" ht="11.549999999999999">
      <c r="A194" s="996"/>
      <c r="B194" s="1645"/>
      <c r="C194" s="1645"/>
      <c r="D194" s="360"/>
      <c r="J194" s="1650"/>
      <c r="K194" s="1650"/>
      <c r="L194" s="1650"/>
      <c r="N194" s="1169"/>
      <c r="O194" s="1645"/>
      <c r="P194" s="1645"/>
      <c r="Q194" s="1169"/>
      <c r="R194" s="1169"/>
      <c r="S194" s="1169"/>
      <c r="T194" s="1169"/>
      <c r="U194" s="1645"/>
      <c r="V194" s="1169"/>
      <c r="W194" s="1169"/>
      <c r="X194" s="553"/>
      <c r="Y194" s="1169"/>
      <c r="Z194" s="1169"/>
      <c r="AA194" s="1169"/>
      <c r="AB194" s="1169"/>
      <c r="AC194" s="1169"/>
      <c r="AD194" s="1641"/>
      <c r="AE194" s="575"/>
      <c r="AF194" s="575"/>
      <c r="AG194" s="575"/>
      <c r="AH194" s="575"/>
      <c r="AI194" s="1650">
        <v>11</v>
      </c>
    </row>
    <row s="1650" customFormat="1" customHeight="1" ht="11.549999999999999">
      <c r="A195" s="996"/>
      <c r="B195" s="1645"/>
      <c r="C195" s="1645"/>
      <c r="D195" s="360"/>
      <c r="J195" s="1650"/>
      <c r="K195" s="1650"/>
      <c r="L195" s="1650"/>
      <c r="N195" s="1169"/>
      <c r="O195" s="1645"/>
      <c r="P195" s="1645"/>
      <c r="Q195" s="1169"/>
      <c r="R195" s="1169"/>
      <c r="S195" s="1169"/>
      <c r="T195" s="1169"/>
      <c r="U195" s="1645"/>
      <c r="V195" s="1169"/>
      <c r="W195" s="1169"/>
      <c r="X195" s="553"/>
      <c r="Y195" s="1169"/>
      <c r="Z195" s="1169"/>
      <c r="AA195" s="1169"/>
      <c r="AB195" s="1169"/>
      <c r="AC195" s="1169"/>
      <c r="AD195" s="1641"/>
      <c r="AE195" s="575"/>
      <c r="AF195" s="575"/>
      <c r="AG195" s="575"/>
      <c r="AH195" s="575"/>
      <c r="AI195" s="1650">
        <v>11</v>
      </c>
    </row>
    <row s="1650" customFormat="1" customHeight="1" ht="11.549999999999999">
      <c r="A196" s="996"/>
      <c r="B196" s="1645"/>
      <c r="C196" s="1645"/>
      <c r="D196" s="360"/>
      <c r="J196" s="1650"/>
      <c r="K196" s="1650"/>
      <c r="L196" s="1650"/>
      <c r="N196" s="1169"/>
      <c r="O196" s="1645"/>
      <c r="P196" s="1645"/>
      <c r="Q196" s="1169"/>
      <c r="R196" s="1169"/>
      <c r="S196" s="1169"/>
      <c r="T196" s="1169"/>
      <c r="U196" s="1645"/>
      <c r="V196" s="1169"/>
      <c r="W196" s="1169"/>
      <c r="X196" s="553"/>
      <c r="Y196" s="1169"/>
      <c r="Z196" s="1169"/>
      <c r="AA196" s="1169"/>
      <c r="AB196" s="1169"/>
      <c r="AC196" s="1169"/>
      <c r="AD196" s="1641"/>
      <c r="AE196" s="575"/>
      <c r="AF196" s="575"/>
      <c r="AG196" s="575"/>
      <c r="AH196" s="575"/>
      <c r="AI196" s="1650">
        <v>11</v>
      </c>
    </row>
    <row s="1650" customFormat="1" customHeight="1" ht="11.549999999999999">
      <c r="A197" s="996"/>
      <c r="B197" s="1645"/>
      <c r="C197" s="1645"/>
      <c r="D197" s="360"/>
      <c r="J197" s="1650"/>
      <c r="K197" s="1650"/>
      <c r="L197" s="1650"/>
      <c r="N197" s="1169"/>
      <c r="O197" s="1645"/>
      <c r="P197" s="1645"/>
      <c r="Q197" s="1169"/>
      <c r="R197" s="1169"/>
      <c r="S197" s="1169"/>
      <c r="T197" s="1169"/>
      <c r="U197" s="1645"/>
      <c r="V197" s="1169"/>
      <c r="W197" s="1169"/>
      <c r="X197" s="553"/>
      <c r="Y197" s="1169"/>
      <c r="Z197" s="1169"/>
      <c r="AA197" s="1169"/>
      <c r="AB197" s="1169"/>
      <c r="AC197" s="1169"/>
      <c r="AD197" s="1641"/>
      <c r="AE197" s="575"/>
      <c r="AF197" s="575"/>
      <c r="AG197" s="575"/>
      <c r="AH197" s="575"/>
      <c r="AI197" s="1650">
        <v>11</v>
      </c>
    </row>
    <row s="1650" customFormat="1" customHeight="1" ht="11.549999999999999">
      <c r="A198" s="996"/>
      <c r="B198" s="1645"/>
      <c r="C198" s="1645"/>
      <c r="D198" s="360"/>
      <c r="J198" s="1650"/>
      <c r="K198" s="1650"/>
      <c r="L198" s="1650"/>
      <c r="N198" s="1169"/>
      <c r="O198" s="1645"/>
      <c r="P198" s="1645"/>
      <c r="Q198" s="1169"/>
      <c r="R198" s="1169"/>
      <c r="S198" s="1169"/>
      <c r="T198" s="1169"/>
      <c r="U198" s="1645"/>
      <c r="V198" s="1169"/>
      <c r="W198" s="1169"/>
      <c r="X198" s="553"/>
      <c r="Y198" s="1169"/>
      <c r="Z198" s="1169"/>
      <c r="AA198" s="1169"/>
      <c r="AB198" s="1169"/>
      <c r="AC198" s="1169"/>
      <c r="AD198" s="1641"/>
      <c r="AE198" s="575"/>
      <c r="AF198" s="575"/>
      <c r="AG198" s="575"/>
      <c r="AH198" s="575"/>
      <c r="AI198" s="1650">
        <v>11</v>
      </c>
    </row>
    <row s="1650" customFormat="1" customHeight="1" ht="11.549999999999999">
      <c r="A199" s="996"/>
      <c r="B199" s="1645"/>
      <c r="C199" s="1645"/>
      <c r="D199" s="360"/>
      <c r="J199" s="1650"/>
      <c r="K199" s="1650"/>
      <c r="L199" s="1650"/>
      <c r="N199" s="1169"/>
      <c r="O199" s="1645"/>
      <c r="P199" s="1645"/>
      <c r="Q199" s="1169"/>
      <c r="R199" s="1169"/>
      <c r="S199" s="1169"/>
      <c r="T199" s="1169"/>
      <c r="U199" s="1645"/>
      <c r="V199" s="1169"/>
      <c r="W199" s="1169"/>
      <c r="X199" s="553"/>
      <c r="Y199" s="1169"/>
      <c r="Z199" s="1169"/>
      <c r="AA199" s="1169"/>
      <c r="AB199" s="1169"/>
      <c r="AC199" s="1169"/>
      <c r="AD199" s="1641"/>
      <c r="AE199" s="575"/>
      <c r="AF199" s="575"/>
      <c r="AG199" s="575"/>
      <c r="AH199" s="575"/>
      <c r="AI199" s="1650">
        <v>11</v>
      </c>
    </row>
    <row s="1650" customFormat="1" customHeight="1" ht="11.549999999999999">
      <c r="A200" s="996"/>
      <c r="B200" s="1645"/>
      <c r="C200" s="1645"/>
      <c r="D200" s="360"/>
      <c r="J200" s="1650"/>
      <c r="K200" s="1650"/>
      <c r="L200" s="1650"/>
      <c r="N200" s="1169"/>
      <c r="O200" s="1645"/>
      <c r="P200" s="1645"/>
      <c r="Q200" s="1169"/>
      <c r="R200" s="1169"/>
      <c r="S200" s="1169"/>
      <c r="T200" s="1169"/>
      <c r="U200" s="1645"/>
      <c r="V200" s="1169"/>
      <c r="W200" s="1169"/>
      <c r="X200" s="553"/>
      <c r="Y200" s="1169"/>
      <c r="Z200" s="1169"/>
      <c r="AA200" s="1169"/>
      <c r="AB200" s="1169"/>
      <c r="AC200" s="1169"/>
      <c r="AD200" s="1641"/>
      <c r="AE200" s="575"/>
      <c r="AF200" s="575"/>
      <c r="AG200" s="575"/>
      <c r="AH200" s="575"/>
      <c r="AI200" s="1650">
        <v>11</v>
      </c>
    </row>
    <row customHeight="1" ht="11.549999999999999">
      <c r="J201" s="1644"/>
      <c r="K201" s="1644"/>
      <c r="L201" s="1644"/>
      <c r="AI201" s="1640">
        <v>11</v>
      </c>
    </row>
    <row customHeight="1" ht="11.549999999999999">
      <c r="J202" s="1644"/>
      <c r="K202" s="1644"/>
      <c r="L202" s="1644"/>
      <c r="AI202" s="1640">
        <v>11</v>
      </c>
    </row>
    <row customHeight="1" ht="11.549999999999999">
      <c r="J203" s="1644"/>
      <c r="K203" s="1644"/>
      <c r="L203" s="1644"/>
      <c r="AI203" s="1640">
        <v>11</v>
      </c>
    </row>
    <row customHeight="1" ht="11.549999999999999">
      <c r="A204" s="999"/>
      <c r="B204" s="1640"/>
      <c r="D204" s="1640"/>
      <c r="J204" s="1644"/>
      <c r="K204" s="1644"/>
      <c r="L204" s="1644"/>
      <c r="N204" s="1640"/>
      <c r="Q204" s="1640"/>
      <c r="R204" s="1640"/>
      <c r="S204" s="1640"/>
      <c r="T204" s="1640"/>
      <c r="V204" s="1640"/>
      <c r="W204" s="1640"/>
      <c r="X204" s="1640"/>
      <c r="Y204" s="1640"/>
      <c r="Z204" s="1640"/>
      <c r="AA204" s="1640"/>
      <c r="AB204" s="1640"/>
      <c r="AC204" s="1640"/>
      <c r="AD204" s="1640"/>
      <c r="AE204" s="1640"/>
      <c r="AF204" s="1640"/>
      <c r="AG204" s="1640"/>
      <c r="AH204" s="1640"/>
      <c r="AI204" s="1640">
        <v>11</v>
      </c>
    </row>
    <row customHeight="1" ht="11.549999999999999">
      <c r="A205" s="999"/>
      <c r="B205" s="1640"/>
      <c r="D205" s="1640"/>
      <c r="J205" s="1644"/>
      <c r="K205" s="1644"/>
      <c r="L205" s="1644"/>
      <c r="N205" s="1640"/>
      <c r="Q205" s="1640"/>
      <c r="R205" s="1640"/>
      <c r="S205" s="1640"/>
      <c r="T205" s="1640"/>
      <c r="V205" s="1640"/>
      <c r="W205" s="1640"/>
      <c r="X205" s="1640"/>
      <c r="Y205" s="1640"/>
      <c r="Z205" s="1640"/>
      <c r="AA205" s="1640"/>
      <c r="AB205" s="1640"/>
      <c r="AC205" s="1640"/>
      <c r="AD205" s="1640"/>
      <c r="AE205" s="1640"/>
      <c r="AF205" s="1640"/>
      <c r="AG205" s="1640"/>
      <c r="AH205" s="1640"/>
      <c r="AI205" s="1640">
        <v>11</v>
      </c>
    </row>
    <row customHeight="1" ht="11.549999999999999">
      <c r="A206" s="999"/>
      <c r="B206" s="1640"/>
      <c r="D206" s="1640"/>
      <c r="J206" s="1644"/>
      <c r="K206" s="1644"/>
      <c r="L206" s="1644"/>
      <c r="N206" s="1640"/>
      <c r="Q206" s="1640"/>
      <c r="R206" s="1640"/>
      <c r="S206" s="1640"/>
      <c r="T206" s="1640"/>
      <c r="V206" s="1640"/>
      <c r="W206" s="1640"/>
      <c r="X206" s="1640"/>
      <c r="Y206" s="1640"/>
      <c r="Z206" s="1640"/>
      <c r="AA206" s="1640"/>
      <c r="AB206" s="1640"/>
      <c r="AC206" s="1640"/>
      <c r="AD206" s="1640"/>
      <c r="AE206" s="1640"/>
      <c r="AF206" s="1640"/>
      <c r="AG206" s="1640"/>
      <c r="AH206" s="1640"/>
      <c r="AI206" s="1640">
        <v>11</v>
      </c>
    </row>
    <row customHeight="1" ht="11.549999999999999">
      <c r="A207" s="999"/>
      <c r="B207" s="1640"/>
      <c r="D207" s="1640"/>
      <c r="J207" s="1644"/>
      <c r="K207" s="1644"/>
      <c r="L207" s="1644"/>
      <c r="N207" s="1640"/>
      <c r="Q207" s="1640"/>
      <c r="R207" s="1640"/>
      <c r="S207" s="1640"/>
      <c r="T207" s="1640"/>
      <c r="V207" s="1640"/>
      <c r="W207" s="1640"/>
      <c r="X207" s="1640"/>
      <c r="Y207" s="1640"/>
      <c r="Z207" s="1640"/>
      <c r="AA207" s="1640"/>
      <c r="AB207" s="1640"/>
      <c r="AC207" s="1640"/>
      <c r="AD207" s="1640"/>
      <c r="AE207" s="1640"/>
      <c r="AF207" s="1640"/>
      <c r="AG207" s="1640"/>
      <c r="AH207" s="1640"/>
      <c r="AI207" s="1640">
        <v>11</v>
      </c>
    </row>
    <row customHeight="1" ht="11.549999999999999">
      <c r="A208" s="999"/>
      <c r="B208" s="1640"/>
      <c r="D208" s="1640"/>
      <c r="J208" s="1644"/>
      <c r="K208" s="1644"/>
      <c r="L208" s="1644"/>
      <c r="N208" s="1640"/>
      <c r="Q208" s="1640"/>
      <c r="R208" s="1640"/>
      <c r="S208" s="1640"/>
      <c r="T208" s="1640"/>
      <c r="V208" s="1640"/>
      <c r="W208" s="1640"/>
      <c r="X208" s="1640"/>
      <c r="Y208" s="1640"/>
      <c r="Z208" s="1640"/>
      <c r="AA208" s="1640"/>
      <c r="AB208" s="1640"/>
      <c r="AC208" s="1640"/>
      <c r="AD208" s="1640"/>
      <c r="AE208" s="1640"/>
      <c r="AF208" s="1640"/>
      <c r="AG208" s="1640"/>
      <c r="AH208" s="1640"/>
      <c r="AI208" s="1640">
        <v>11</v>
      </c>
    </row>
    <row customHeight="1" ht="11.549999999999999">
      <c r="A209" s="999"/>
      <c r="B209" s="1640"/>
      <c r="D209" s="1640"/>
      <c r="J209" s="1644"/>
      <c r="K209" s="1644"/>
      <c r="L209" s="1644"/>
      <c r="N209" s="1640"/>
      <c r="Q209" s="1640"/>
      <c r="R209" s="1640"/>
      <c r="S209" s="1640"/>
      <c r="T209" s="1640"/>
      <c r="V209" s="1640"/>
      <c r="W209" s="1640"/>
      <c r="X209" s="1640"/>
      <c r="Y209" s="1640"/>
      <c r="Z209" s="1640"/>
      <c r="AA209" s="1640"/>
      <c r="AB209" s="1640"/>
      <c r="AC209" s="1640"/>
      <c r="AD209" s="1640"/>
      <c r="AE209" s="1640"/>
      <c r="AF209" s="1640"/>
      <c r="AG209" s="1640"/>
      <c r="AH209" s="1640"/>
      <c r="AI209" s="1640">
        <v>11</v>
      </c>
    </row>
    <row customHeight="1" ht="11.549999999999999">
      <c r="A210" s="999"/>
      <c r="B210" s="1640"/>
      <c r="D210" s="1640"/>
      <c r="J210" s="1644"/>
      <c r="K210" s="1644"/>
      <c r="L210" s="1644"/>
      <c r="N210" s="1640"/>
      <c r="Q210" s="1640"/>
      <c r="R210" s="1640"/>
      <c r="S210" s="1640"/>
      <c r="T210" s="1640"/>
      <c r="V210" s="1640"/>
      <c r="W210" s="1640"/>
      <c r="X210" s="1640"/>
      <c r="Y210" s="1640"/>
      <c r="Z210" s="1640"/>
      <c r="AA210" s="1640"/>
      <c r="AB210" s="1640"/>
      <c r="AC210" s="1640"/>
      <c r="AD210" s="1640"/>
      <c r="AE210" s="1640"/>
      <c r="AF210" s="1640"/>
      <c r="AG210" s="1640"/>
      <c r="AH210" s="1640"/>
      <c r="AI210" s="1640">
        <v>11</v>
      </c>
    </row>
    <row customHeight="1" ht="11.549999999999999">
      <c r="A211" s="999"/>
      <c r="B211" s="1640"/>
      <c r="D211" s="1640"/>
      <c r="J211" s="1644"/>
      <c r="K211" s="1644"/>
      <c r="L211" s="1644"/>
      <c r="N211" s="1640"/>
      <c r="Q211" s="1640"/>
      <c r="R211" s="1640"/>
      <c r="S211" s="1640"/>
      <c r="T211" s="1640"/>
      <c r="V211" s="1640"/>
      <c r="W211" s="1640"/>
      <c r="X211" s="1640"/>
      <c r="Y211" s="1640"/>
      <c r="Z211" s="1640"/>
      <c r="AA211" s="1640"/>
      <c r="AB211" s="1640"/>
      <c r="AC211" s="1640"/>
      <c r="AD211" s="1640"/>
      <c r="AE211" s="1640"/>
      <c r="AF211" s="1640"/>
      <c r="AG211" s="1640"/>
      <c r="AH211" s="1640"/>
      <c r="AI211" s="1640">
        <v>11</v>
      </c>
    </row>
    <row customHeight="1" ht="11.549999999999999">
      <c r="A212" s="999"/>
      <c r="B212" s="1640"/>
      <c r="D212" s="1640"/>
      <c r="J212" s="1644"/>
      <c r="K212" s="1644"/>
      <c r="L212" s="1644"/>
      <c r="N212" s="1640"/>
      <c r="Q212" s="1640"/>
      <c r="R212" s="1640"/>
      <c r="S212" s="1640"/>
      <c r="T212" s="1640"/>
      <c r="V212" s="1640"/>
      <c r="W212" s="1640"/>
      <c r="X212" s="1640"/>
      <c r="Y212" s="1640"/>
      <c r="Z212" s="1640"/>
      <c r="AA212" s="1640"/>
      <c r="AB212" s="1640"/>
      <c r="AC212" s="1640"/>
      <c r="AD212" s="1640"/>
      <c r="AE212" s="1640"/>
      <c r="AF212" s="1640"/>
      <c r="AG212" s="1640"/>
      <c r="AH212" s="1640"/>
      <c r="AI212" s="1640">
        <v>11</v>
      </c>
    </row>
    <row customHeight="1" ht="11.549999999999999">
      <c r="A213" s="999"/>
      <c r="B213" s="1640"/>
      <c r="D213" s="1640"/>
      <c r="J213" s="1644"/>
      <c r="K213" s="1644"/>
      <c r="L213" s="1644"/>
      <c r="N213" s="1640"/>
      <c r="Q213" s="1640"/>
      <c r="R213" s="1640"/>
      <c r="S213" s="1640"/>
      <c r="T213" s="1640"/>
      <c r="V213" s="1640"/>
      <c r="W213" s="1640"/>
      <c r="X213" s="1640"/>
      <c r="Y213" s="1640"/>
      <c r="Z213" s="1640"/>
      <c r="AA213" s="1640"/>
      <c r="AB213" s="1640"/>
      <c r="AC213" s="1640"/>
      <c r="AD213" s="1640"/>
      <c r="AE213" s="1640"/>
      <c r="AF213" s="1640"/>
      <c r="AG213" s="1640"/>
      <c r="AH213" s="1640"/>
      <c r="AI213" s="1640">
        <v>11</v>
      </c>
    </row>
    <row customHeight="1" ht="11.549999999999999">
      <c r="A214" s="999"/>
      <c r="B214" s="1640"/>
      <c r="D214" s="1640"/>
      <c r="J214" s="1644"/>
      <c r="K214" s="1644"/>
      <c r="L214" s="1644"/>
      <c r="N214" s="1640"/>
      <c r="Q214" s="1640"/>
      <c r="R214" s="1640"/>
      <c r="S214" s="1640"/>
      <c r="T214" s="1640"/>
      <c r="V214" s="1640"/>
      <c r="W214" s="1640"/>
      <c r="X214" s="1640"/>
      <c r="Y214" s="1640"/>
      <c r="Z214" s="1640"/>
      <c r="AA214" s="1640"/>
      <c r="AB214" s="1640"/>
      <c r="AC214" s="1640"/>
      <c r="AD214" s="1640"/>
      <c r="AE214" s="1640"/>
      <c r="AF214" s="1640"/>
      <c r="AG214" s="1640"/>
      <c r="AH214" s="1640"/>
      <c r="AI214" s="1640">
        <v>11</v>
      </c>
    </row>
    <row customHeight="1" ht="11.25" hidden="1">
      <c r="A215" s="996" t="s">
        <v>83</v>
      </c>
      <c r="B215" s="1169">
        <v>0</v>
      </c>
      <c r="C215" s="1645">
        <v>0</v>
      </c>
      <c r="D215" s="1644">
        <v>3</v>
      </c>
      <c r="E215" s="1640">
        <v>7</v>
      </c>
      <c r="F215" s="1640">
        <v>54</v>
      </c>
      <c r="G215" s="1640">
        <v>10</v>
      </c>
      <c r="H215" s="1640">
        <v>0</v>
      </c>
      <c r="I215" s="1640">
        <v>40</v>
      </c>
      <c r="J215" s="1644">
        <v>0</v>
      </c>
      <c r="K215" s="1644">
        <v>0</v>
      </c>
      <c r="L215" s="1644">
        <v>0</v>
      </c>
      <c r="M215" s="1640">
        <v>102</v>
      </c>
      <c r="N215" s="1169">
        <v>9</v>
      </c>
      <c r="O215" s="1645">
        <v>5</v>
      </c>
      <c r="P215" s="1645">
        <v>3</v>
      </c>
      <c r="Q215" s="1169">
        <v>3</v>
      </c>
      <c r="R215" s="1169">
        <v>3</v>
      </c>
      <c r="S215" s="1169">
        <v>3</v>
      </c>
      <c r="T215" s="1169">
        <v>3</v>
      </c>
      <c r="U215" s="1645">
        <v>10</v>
      </c>
      <c r="V215" s="1169">
        <v>34</v>
      </c>
      <c r="W215" s="1169">
        <v>9</v>
      </c>
      <c r="X215" s="553">
        <v>8</v>
      </c>
      <c r="Y215" s="1169">
        <v>8</v>
      </c>
      <c r="Z215" s="1169">
        <v>8</v>
      </c>
      <c r="AA215" s="1169">
        <v>8</v>
      </c>
      <c r="AB215" s="1169">
        <v>8</v>
      </c>
      <c r="AC215" s="1169">
        <v>8</v>
      </c>
      <c r="AD215" s="1641">
        <v>8</v>
      </c>
      <c r="AE215" s="1641">
        <v>8</v>
      </c>
      <c r="AF215" s="1641">
        <v>8</v>
      </c>
      <c r="AG215" s="1641">
        <v>8</v>
      </c>
      <c r="AH215" s="1641">
        <v>8</v>
      </c>
      <c r="AI215" s="1640">
        <v>11</v>
      </c>
    </row>
  </sheetData>
  <sheetProtection sheet="1" formatColumns="0" formatRows="0" autoFilter="0" sort="1" insertRows="1" insertColumns="1" deleteRows="1" deleteColumns="1"/>
  <mergeCells count="9">
    <mergeCell ref="F45:G45"/>
    <mergeCell ref="E6:I6"/>
    <mergeCell ref="E7:I7"/>
    <mergeCell ref="F10:G10"/>
    <mergeCell ref="M10:M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L35">
      <formula1>-9.99999999999999E+37</formula1>
      <formula2>9.99999999999999E+37</formula2>
    </dataValidation>
    <dataValidation type="decimal" allowBlank="1" showErrorMessage="1" errorTitle="Ошибка" error="Допускается ввод только действительных чисел!" sqref="H31:L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L36">
      <formula1>900</formula1>
    </dataValidation>
    <dataValidation type="decimal" allowBlank="1" showErrorMessage="1" errorTitle="Ошибка" error="Допускается ввод только неотрицательных чисел!" sqref="H32:L32 H2:L2 H15:L15 H17:L27 H30:L30 H41:L42 H38:L39">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L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340EDB-2221-F8FD-5775-0.E84CCB08}" mc:Ignorable="x14ac xr xr2 xr3">
  <sheetPr>
    <tabColor theme="9" tint="-0.25"/>
  </sheetPr>
  <dimension ref="A1:AD102"/>
  <sheetViews>
    <sheetView showGridLines="0" zoomScale="80" workbookViewId="0">
      <pane xSplit="8" ySplit="11" topLeftCell="I12" activePane="bottomRight" state="frozen"/>
      <selection pane="bottomLeft" activeCell="A12" sqref="A12"/>
      <selection pane="topRight" activeCell="I1" sqref="I1"/>
      <selection pane="bottomRight" activeCell="P19" sqref="P19"/>
    </sheetView>
  </sheetViews>
  <sheetFormatPr defaultColWidth="10.57421875" customHeight="1" defaultRowHeight="11.25"/>
  <cols>
    <col min="1" max="1" style="1175" width="9.140625" hidden="1" customWidth="1"/>
    <col min="2" max="2" style="1651" width="3.57421875" hidden="1" customWidth="1"/>
    <col min="3" max="3" style="1644" width="3.00390625" customWidth="1"/>
    <col min="4" max="4" style="1644" width="7.00390625" customWidth="1"/>
    <col min="5" max="5" style="1644" width="69.00390625" customWidth="1"/>
    <col min="6" max="6" style="1644" width="10.00390625" customWidth="1"/>
    <col min="7" max="8" style="1644" width="44.00390625" hidden="1" customWidth="1"/>
    <col min="9" max="9" style="1644" width="44.00390625" customWidth="1"/>
    <col min="10" max="10" style="1644" width="43.00390625" customWidth="1"/>
    <col min="11" max="16" style="1644" width="44.00390625" customWidth="1"/>
    <col min="17" max="17" style="1644" width="73.00390625" customWidth="1"/>
    <col min="18" max="18" style="1644" width="3.00390625" customWidth="1"/>
    <col min="19" max="29" style="1644" width="10.00390625" customWidth="1"/>
    <col min="30" max="30" style="1644" width="10.57421875" hidden="1"/>
  </cols>
  <sheetData>
    <row s="1375" customFormat="1" customHeight="1" ht="22.5" hidden="1">
      <c r="A1" s="545"/>
      <c r="B1" s="520"/>
      <c r="G1" s="426">
        <v>4</v>
      </c>
      <c r="I1" s="426">
        <v>4</v>
      </c>
      <c r="K1" s="1375">
        <v>4</v>
      </c>
      <c r="L1" s="1375"/>
      <c r="M1" s="1375">
        <v>4</v>
      </c>
      <c r="N1" s="1375"/>
      <c r="O1" s="1375">
        <v>4</v>
      </c>
      <c r="P1" s="1375"/>
      <c r="Q1" s="426">
        <v>5</v>
      </c>
      <c r="AD1" s="426" t="s">
        <v>14</v>
      </c>
    </row>
    <row customHeight="1" ht="3">
      <c r="K2" s="1644"/>
      <c r="L2" s="1644"/>
      <c r="M2" s="1644"/>
      <c r="N2" s="1644"/>
      <c r="O2" s="1644"/>
      <c r="P2" s="1644"/>
      <c r="AD2" s="514">
        <v>3</v>
      </c>
    </row>
    <row customHeight="1" ht="78.75">
      <c r="D3" s="22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267"/>
      <c r="F3" s="2268"/>
      <c r="K3" s="1644"/>
      <c r="L3" s="1644"/>
      <c r="M3" s="1644"/>
      <c r="N3" s="1644"/>
      <c r="O3" s="1644"/>
      <c r="P3" s="1644"/>
      <c r="AD3" s="514">
        <v>75</v>
      </c>
    </row>
    <row s="1644" customFormat="1" customHeight="1" ht="21">
      <c r="A4" s="960"/>
      <c r="B4" s="520"/>
      <c r="D4" s="2242" t="str">
        <f>IF(org=0,"Не определено",org)</f>
        <v>АО "ДГК"</v>
      </c>
      <c r="E4" s="2243"/>
      <c r="F4" s="2244"/>
      <c r="K4" s="1644"/>
      <c r="L4" s="1644"/>
      <c r="M4" s="1644"/>
      <c r="N4" s="1644"/>
      <c r="O4" s="1644"/>
      <c r="P4" s="1644"/>
      <c r="AD4" s="767">
        <v>20</v>
      </c>
    </row>
    <row customHeight="1" ht="11.549999999999999">
      <c r="C5" s="518"/>
      <c r="D5" s="597"/>
      <c r="E5" s="597"/>
      <c r="F5" s="597"/>
      <c r="G5" s="597"/>
      <c r="H5" s="761"/>
      <c r="I5" s="597"/>
      <c r="J5" s="761"/>
      <c r="K5" s="1644"/>
      <c r="L5" s="761"/>
      <c r="M5" s="1644"/>
      <c r="N5" s="761"/>
      <c r="O5" s="1644"/>
      <c r="P5" s="761"/>
      <c r="Q5" s="597"/>
      <c r="AD5" s="514">
        <v>11</v>
      </c>
    </row>
    <row customHeight="1" ht="1.05">
      <c r="C6" s="518"/>
      <c r="D6" s="518"/>
      <c r="E6" s="531"/>
      <c r="F6" s="623"/>
      <c r="G6" s="1031"/>
      <c r="H6" s="1031"/>
      <c r="I6" s="1031" t="s">
        <v>126</v>
      </c>
      <c r="J6" s="1031"/>
      <c r="K6" s="1031" t="s">
        <v>131</v>
      </c>
      <c r="L6" s="1031"/>
      <c r="M6" s="1031" t="s">
        <v>134</v>
      </c>
      <c r="N6" s="1031"/>
      <c r="O6" s="1031" t="s">
        <v>136</v>
      </c>
      <c r="P6" s="1031"/>
      <c r="AD6" s="514">
        <v>1</v>
      </c>
    </row>
    <row customHeight="1" ht="11.549999999999999">
      <c r="D7" s="720"/>
      <c r="E7" s="2395" t="s">
        <v>114</v>
      </c>
      <c r="F7" s="2396"/>
      <c r="G7" s="2421" t="str">
        <f>IF(G6="","",INDEX(DIFFERENTIATION_UNMERGE_VD,MATCH(G6,DIFFERENTIATION_ID_DIFF,0)))</f>
        <v/>
      </c>
      <c r="H7" s="2422"/>
      <c r="I7" s="2421" t="str">
        <f>IF(I6="","",INDEX(DIFFERENTIATION_UNMERGE_VD,MATCH(I6,DIFFERENTIATION_ID_DIFF,0)))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7" s="2422"/>
      <c r="K7" s="2421" t="str">
        <f>IF(K6="","",INDEX(DIFFERENTIATION_UNMERGE_VD,MATCH(K6,DIFFERENTIATION_ID_DIFF,0)))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7" s="2422"/>
      <c r="M7" s="2421" t="str">
        <f>IF(M6="","",INDEX(DIFFERENTIATION_UNMERGE_VD,MATCH(M6,DIFFERENTIATION_ID_DIFF,0)))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7" s="2422"/>
      <c r="O7" s="2421" t="str">
        <f>IF(O6="","",INDEX(DIFFERENTIATION_UNMERGE_VD,MATCH(O6,DIFFERENTIATION_ID_DIFF,0)))</f>
        <v>Подключение (технологическое присоединение) к системе теплоснабжения</v>
      </c>
      <c r="P7" s="2422"/>
      <c r="Q7" s="2203"/>
      <c r="R7" s="518"/>
      <c r="AD7" s="514">
        <v>11</v>
      </c>
    </row>
    <row customHeight="1" ht="11.549999999999999">
      <c r="A8" s="713"/>
      <c r="D8" s="720"/>
      <c r="E8" s="2395" t="s">
        <v>577</v>
      </c>
      <c r="F8" s="2396"/>
      <c r="G8" s="2421" t="str">
        <f>IF(G6="","",INDEX(DIFFERENTIATION_UNMERGE_AREA,MATCH(G6,DIFFERENTIATION_ID_DIFF,0)))</f>
        <v/>
      </c>
      <c r="H8" s="2422"/>
      <c r="I8" s="2421" t="str">
        <f>IF(I6="","",INDEX(DIFFERENTIATION_UNMERGE_AREA,MATCH(I6,DIFFERENTIATION_ID_DIFF,0)))</f>
        <v>Территория 1</v>
      </c>
      <c r="J8" s="2422"/>
      <c r="K8" s="2421" t="str">
        <f>IF(K6="","",INDEX(DIFFERENTIATION_UNMERGE_AREA,MATCH(K6,DIFFERENTIATION_ID_DIFF,0)))</f>
        <v>Территория 3</v>
      </c>
      <c r="L8" s="2422"/>
      <c r="M8" s="2421" t="str">
        <f>IF(M6="","",INDEX(DIFFERENTIATION_UNMERGE_AREA,MATCH(M6,DIFFERENTIATION_ID_DIFF,0)))</f>
        <v>Территория 2</v>
      </c>
      <c r="N8" s="2422"/>
      <c r="O8" s="2421" t="str">
        <f>IF(O6="","",INDEX(DIFFERENTIATION_UNMERGE_AREA,MATCH(O6,DIFFERENTIATION_ID_DIFF,0)))</f>
        <v>без дифференциации</v>
      </c>
      <c r="P8" s="2422"/>
      <c r="Q8" s="2227"/>
      <c r="R8" s="518"/>
      <c r="AD8" s="514">
        <v>11</v>
      </c>
    </row>
    <row customHeight="1" ht="11.549999999999999">
      <c r="A9" s="713"/>
      <c r="D9" s="720"/>
      <c r="E9" s="2395" t="s">
        <v>578</v>
      </c>
      <c r="F9" s="2396"/>
      <c r="G9" s="2421" t="str">
        <f>IF(G6="","",INDEX(DIFFERENTIATION_UNMERGE_SYSTEM,MATCH(G6,DIFFERENTIATION_ID_DIFF,0)))</f>
        <v/>
      </c>
      <c r="H9" s="2422"/>
      <c r="I9" s="2421" t="str">
        <f>IF(I6="","",INDEX(DIFFERENTIATION_UNMERGE_SYSTEM,MATCH(I6,DIFFERENTIATION_ID_DIFF,0)))</f>
        <v>Артемовская ТЭЦ, ТС г. Артем</v>
      </c>
      <c r="J9" s="2422"/>
      <c r="K9" s="2421" t="str">
        <f>IF(K6="","",INDEX(DIFFERENTIATION_UNMERGE_SYSTEM,MATCH(K6,DIFFERENTIATION_ID_DIFF,0)))</f>
        <v>Партизанская ГРЭС, ТС г. Партизанск</v>
      </c>
      <c r="L9" s="2422"/>
      <c r="M9" s="2421" t="str">
        <f>IF(M6="","",INDEX(DIFFERENTIATION_UNMERGE_SYSTEM,MATCH(M6,DIFFERENTIATION_ID_DIFF,0)))</f>
        <v>Восточная ТЭЦ, котельные г. Владивосток, ТС г. Владивосток</v>
      </c>
      <c r="N9" s="2422"/>
      <c r="O9" s="2421" t="str">
        <f>IF(O6="","",INDEX(DIFFERENTIATION_UNMERGE_SYSTEM,MATCH(O6,DIFFERENTIATION_ID_DIFF,0)))</f>
        <v>без дифференциации</v>
      </c>
      <c r="P9" s="2422"/>
      <c r="Q9" s="2227"/>
      <c r="R9" s="518"/>
      <c r="AD9" s="514">
        <v>11</v>
      </c>
    </row>
    <row s="1644" customFormat="1" customHeight="1" ht="11.549999999999999">
      <c r="A10" s="1030"/>
      <c r="B10" s="520"/>
      <c r="D10" s="2129" t="s">
        <v>315</v>
      </c>
      <c r="E10" s="2130"/>
      <c r="F10" s="2130"/>
      <c r="G10" s="2130"/>
      <c r="H10" s="2130"/>
      <c r="I10" s="2130"/>
      <c r="J10" s="2131"/>
      <c r="K10" s="2297"/>
      <c r="L10" s="2297"/>
      <c r="M10" s="2297"/>
      <c r="N10" s="2297"/>
      <c r="O10" s="2297"/>
      <c r="P10" s="2297"/>
      <c r="Q10" s="2227"/>
      <c r="R10" s="518"/>
      <c r="AD10" s="767">
        <v>11</v>
      </c>
    </row>
    <row s="1644" customFormat="1" customHeight="1" ht="24">
      <c r="A11" s="2413"/>
      <c r="B11" s="2413"/>
      <c r="C11" s="666"/>
      <c r="D11" s="712" t="s">
        <v>89</v>
      </c>
      <c r="E11" s="714" t="s">
        <v>847</v>
      </c>
      <c r="F11" s="714" t="s">
        <v>579</v>
      </c>
      <c r="G11" s="474" t="s">
        <v>318</v>
      </c>
      <c r="H11" s="474" t="s">
        <v>405</v>
      </c>
      <c r="I11" s="816" t="s">
        <v>318</v>
      </c>
      <c r="J11" s="817" t="s">
        <v>405</v>
      </c>
      <c r="K11" s="2340" t="s">
        <v>318</v>
      </c>
      <c r="L11" s="2340" t="s">
        <v>405</v>
      </c>
      <c r="M11" s="2340" t="s">
        <v>318</v>
      </c>
      <c r="N11" s="2340" t="s">
        <v>405</v>
      </c>
      <c r="O11" s="2340" t="s">
        <v>318</v>
      </c>
      <c r="P11" s="2340" t="s">
        <v>405</v>
      </c>
      <c r="Q11" s="2260"/>
      <c r="R11" s="667"/>
      <c r="AD11" s="518">
        <v>23</v>
      </c>
    </row>
    <row s="1651" customFormat="1" customHeight="1" ht="10.5">
      <c r="A12" s="961"/>
      <c r="D12" s="1034" t="s">
        <v>118</v>
      </c>
      <c r="E12" s="1034" t="s">
        <v>103</v>
      </c>
      <c r="F12" s="1034" t="s">
        <v>91</v>
      </c>
      <c r="G12" s="1035" t="str">
        <f>G1&amp;".1"</f>
        <v>4.1</v>
      </c>
      <c r="H12" s="1035" t="str">
        <f>G1&amp;".2"</f>
        <v>4.2</v>
      </c>
      <c r="I12" s="1035" t="str">
        <f>I1&amp;".1"</f>
        <v>4.1</v>
      </c>
      <c r="J12" s="1035" t="str">
        <f>I1&amp;".2"</f>
        <v>4.2</v>
      </c>
      <c r="K12" s="2402" t="str">
        <f>K1&amp;".1"</f>
        <v>4.1</v>
      </c>
      <c r="L12" s="2402" t="str">
        <f>K1&amp;".2"</f>
        <v>4.2</v>
      </c>
      <c r="M12" s="2402" t="str">
        <f>M1&amp;".1"</f>
        <v>4.1</v>
      </c>
      <c r="N12" s="2402" t="str">
        <f>M1&amp;".2"</f>
        <v>4.2</v>
      </c>
      <c r="O12" s="2402" t="str">
        <f>O1&amp;".1"</f>
        <v>4.1</v>
      </c>
      <c r="P12" s="2402" t="str">
        <f>O1&amp;".2"</f>
        <v>4.2</v>
      </c>
      <c r="Q12" s="1035"/>
      <c r="AD12" s="520">
        <v>10</v>
      </c>
    </row>
    <row customHeight="1" ht="22.5">
      <c r="A13" s="2420" t="s">
        <v>848</v>
      </c>
      <c r="D13" s="962" t="s">
        <v>118</v>
      </c>
      <c r="E13" s="288" t="s">
        <v>849</v>
      </c>
      <c r="F13" s="669" t="s">
        <v>850</v>
      </c>
      <c r="G13" s="566"/>
      <c r="H13" s="670"/>
      <c r="I13" s="566">
        <v>0</v>
      </c>
      <c r="J13" s="670"/>
      <c r="K13" s="566">
        <v>5</v>
      </c>
      <c r="L13" s="671"/>
      <c r="M13" s="566">
        <v>0</v>
      </c>
      <c r="N13" s="671"/>
      <c r="O13" s="566">
        <v>0</v>
      </c>
      <c r="P13" s="671"/>
      <c r="Q13" s="298" t="s">
        <v>851</v>
      </c>
      <c r="R13" s="729"/>
      <c r="AD13" s="514">
        <v>0</v>
      </c>
    </row>
    <row customHeight="1" ht="22.5">
      <c r="A14" s="2420"/>
      <c r="D14" s="548" t="s">
        <v>103</v>
      </c>
      <c r="E14" s="288" t="s">
        <v>852</v>
      </c>
      <c r="F14" s="669" t="s">
        <v>853</v>
      </c>
      <c r="G14" s="566"/>
      <c r="H14" s="671"/>
      <c r="I14" s="566">
        <v>0</v>
      </c>
      <c r="J14" s="671"/>
      <c r="K14" s="566">
        <v>0</v>
      </c>
      <c r="L14" s="671"/>
      <c r="M14" s="566">
        <v>0</v>
      </c>
      <c r="N14" s="671"/>
      <c r="O14" s="566">
        <v>0</v>
      </c>
      <c r="P14" s="671"/>
      <c r="Q14" s="298" t="s">
        <v>854</v>
      </c>
      <c r="R14" s="729"/>
      <c r="AD14" s="514">
        <v>0</v>
      </c>
    </row>
    <row s="1644" customFormat="1" customHeight="1" ht="78.75">
      <c r="A15" s="2420"/>
      <c r="B15" s="520"/>
      <c r="D15" s="962" t="s">
        <v>91</v>
      </c>
      <c r="E15" s="716" t="s">
        <v>855</v>
      </c>
      <c r="F15" s="959" t="s">
        <v>321</v>
      </c>
      <c r="G15" s="959" t="s">
        <v>321</v>
      </c>
      <c r="H15" s="115"/>
      <c r="I15" s="959" t="s">
        <v>321</v>
      </c>
      <c r="J15" s="115"/>
      <c r="K15" s="2340" t="s">
        <v>321</v>
      </c>
      <c r="L15" s="2529"/>
      <c r="M15" s="2340" t="s">
        <v>321</v>
      </c>
      <c r="N15" s="2529"/>
      <c r="O15" s="2340" t="s">
        <v>321</v>
      </c>
      <c r="P15" s="2529"/>
      <c r="Q15" s="298" t="s">
        <v>856</v>
      </c>
      <c r="R15" s="729"/>
      <c r="AD15" s="767">
        <v>0</v>
      </c>
    </row>
    <row s="1644" customFormat="1" customHeight="1" ht="22.5">
      <c r="A16" s="2420"/>
      <c r="B16" s="520"/>
      <c r="D16" s="962" t="s">
        <v>339</v>
      </c>
      <c r="E16" s="963" t="s">
        <v>857</v>
      </c>
      <c r="F16" s="959" t="s">
        <v>858</v>
      </c>
      <c r="G16" s="826"/>
      <c r="H16" s="115"/>
      <c r="I16" s="826"/>
      <c r="J16" s="115"/>
      <c r="K16" s="826"/>
      <c r="L16" s="2529"/>
      <c r="M16" s="826"/>
      <c r="N16" s="2529"/>
      <c r="O16" s="826"/>
      <c r="P16" s="2529"/>
      <c r="Q16" s="298"/>
      <c r="R16" s="729"/>
      <c r="AD16" s="767">
        <v>0</v>
      </c>
    </row>
    <row s="1644" customFormat="1" customHeight="1" ht="22.5">
      <c r="A17" s="2420"/>
      <c r="B17" s="520"/>
      <c r="D17" s="962" t="s">
        <v>347</v>
      </c>
      <c r="E17" s="963" t="s">
        <v>859</v>
      </c>
      <c r="F17" s="959" t="s">
        <v>860</v>
      </c>
      <c r="G17" s="826"/>
      <c r="H17" s="115"/>
      <c r="I17" s="826"/>
      <c r="J17" s="115"/>
      <c r="K17" s="826"/>
      <c r="L17" s="2529"/>
      <c r="M17" s="826"/>
      <c r="N17" s="2529"/>
      <c r="O17" s="826"/>
      <c r="P17" s="2529"/>
      <c r="Q17" s="298"/>
      <c r="R17" s="729"/>
      <c r="AD17" s="767">
        <v>0</v>
      </c>
    </row>
    <row s="1644" customFormat="1" customHeight="1" ht="33.75">
      <c r="A18" s="2420"/>
      <c r="B18" s="520"/>
      <c r="D18" s="962" t="s">
        <v>349</v>
      </c>
      <c r="E18" s="963" t="s">
        <v>861</v>
      </c>
      <c r="F18" s="959" t="s">
        <v>590</v>
      </c>
      <c r="G18" s="689"/>
      <c r="H18" s="115"/>
      <c r="I18" s="689"/>
      <c r="J18" s="115"/>
      <c r="K18" s="689"/>
      <c r="L18" s="2529"/>
      <c r="M18" s="689"/>
      <c r="N18" s="2529"/>
      <c r="O18" s="689"/>
      <c r="P18" s="2529"/>
      <c r="Q18" s="298"/>
      <c r="R18" s="729"/>
      <c r="AD18" s="767">
        <v>0</v>
      </c>
    </row>
    <row customHeight="1" ht="101.25">
      <c r="A19" s="2420"/>
      <c r="D19" s="962" t="s">
        <v>92</v>
      </c>
      <c r="E19" s="288" t="s">
        <v>862</v>
      </c>
      <c r="F19" s="669" t="s">
        <v>559</v>
      </c>
      <c r="G19" s="672"/>
      <c r="H19" s="671"/>
      <c r="I19" s="2545" t="s">
        <v>863</v>
      </c>
      <c r="J19" s="671" t="s">
        <v>864</v>
      </c>
      <c r="K19" s="2545" t="s">
        <v>863</v>
      </c>
      <c r="L19" s="671" t="s">
        <v>864</v>
      </c>
      <c r="M19" s="2545" t="s">
        <v>863</v>
      </c>
      <c r="N19" s="671" t="s">
        <v>864</v>
      </c>
      <c r="O19" s="2545" t="s">
        <v>865</v>
      </c>
      <c r="P19" s="671"/>
      <c r="Q19" s="298" t="s">
        <v>866</v>
      </c>
      <c r="R19" s="729"/>
      <c r="AD19" s="514">
        <v>0</v>
      </c>
    </row>
    <row s="1644" customFormat="1" customHeight="1" ht="18.75">
      <c r="A20" s="2420"/>
      <c r="C20" s="965"/>
      <c r="D20" s="962" t="s">
        <v>782</v>
      </c>
      <c r="E20" s="963" t="s">
        <v>867</v>
      </c>
      <c r="F20" s="959" t="s">
        <v>321</v>
      </c>
      <c r="G20" s="959" t="s">
        <v>321</v>
      </c>
      <c r="H20" s="958" t="s">
        <v>321</v>
      </c>
      <c r="I20" s="959" t="s">
        <v>321</v>
      </c>
      <c r="J20" s="958" t="s">
        <v>321</v>
      </c>
      <c r="K20" s="2340" t="s">
        <v>321</v>
      </c>
      <c r="L20" s="2288" t="s">
        <v>321</v>
      </c>
      <c r="M20" s="2340" t="s">
        <v>321</v>
      </c>
      <c r="N20" s="2288" t="s">
        <v>321</v>
      </c>
      <c r="O20" s="2340" t="s">
        <v>321</v>
      </c>
      <c r="P20" s="2288" t="s">
        <v>321</v>
      </c>
      <c r="Q20" s="957"/>
      <c r="R20" s="729"/>
      <c r="AC20" s="684"/>
      <c r="AD20" s="767">
        <v>0</v>
      </c>
    </row>
    <row s="1644" customFormat="1" customHeight="1" ht="33.75">
      <c r="A21" s="2420"/>
      <c r="C21" s="965"/>
      <c r="D21" s="962" t="s">
        <v>785</v>
      </c>
      <c r="E21" s="585" t="s">
        <v>868</v>
      </c>
      <c r="F21" s="959" t="s">
        <v>869</v>
      </c>
      <c r="G21" s="689"/>
      <c r="H21" s="115"/>
      <c r="I21" s="689">
        <v>0</v>
      </c>
      <c r="J21" s="115"/>
      <c r="K21" s="689">
        <v>0</v>
      </c>
      <c r="L21" s="2529"/>
      <c r="M21" s="689">
        <v>0</v>
      </c>
      <c r="N21" s="2529"/>
      <c r="O21" s="689"/>
      <c r="P21" s="2529"/>
      <c r="Q21" s="957"/>
      <c r="R21" s="729"/>
      <c r="AC21" s="684"/>
      <c r="AD21" s="767">
        <v>0</v>
      </c>
    </row>
    <row s="1644" customFormat="1" customHeight="1" ht="33.75">
      <c r="A22" s="2420"/>
      <c r="C22" s="965"/>
      <c r="D22" s="962" t="s">
        <v>788</v>
      </c>
      <c r="E22" s="585" t="s">
        <v>870</v>
      </c>
      <c r="F22" s="959" t="s">
        <v>871</v>
      </c>
      <c r="G22" s="689"/>
      <c r="H22" s="115"/>
      <c r="I22" s="689">
        <v>0</v>
      </c>
      <c r="J22" s="115"/>
      <c r="K22" s="689">
        <v>0</v>
      </c>
      <c r="L22" s="2529"/>
      <c r="M22" s="689">
        <v>0</v>
      </c>
      <c r="N22" s="2529"/>
      <c r="O22" s="689"/>
      <c r="P22" s="2529"/>
      <c r="Q22" s="957"/>
      <c r="R22" s="729"/>
      <c r="AC22" s="684"/>
      <c r="AD22" s="767">
        <v>0</v>
      </c>
    </row>
    <row s="1644" customFormat="1" customHeight="1" ht="22.5">
      <c r="A23" s="2420"/>
      <c r="C23" s="965"/>
      <c r="D23" s="962" t="s">
        <v>826</v>
      </c>
      <c r="E23" s="963" t="s">
        <v>872</v>
      </c>
      <c r="F23" s="959" t="s">
        <v>321</v>
      </c>
      <c r="G23" s="959" t="s">
        <v>321</v>
      </c>
      <c r="H23" s="958" t="s">
        <v>321</v>
      </c>
      <c r="I23" s="959" t="s">
        <v>321</v>
      </c>
      <c r="J23" s="958" t="s">
        <v>321</v>
      </c>
      <c r="K23" s="2340" t="s">
        <v>321</v>
      </c>
      <c r="L23" s="2288" t="s">
        <v>321</v>
      </c>
      <c r="M23" s="2340" t="s">
        <v>321</v>
      </c>
      <c r="N23" s="2288" t="s">
        <v>321</v>
      </c>
      <c r="O23" s="2340" t="s">
        <v>321</v>
      </c>
      <c r="P23" s="2288" t="s">
        <v>321</v>
      </c>
      <c r="Q23" s="957"/>
      <c r="R23" s="729"/>
      <c r="AC23" s="684"/>
      <c r="AD23" s="767">
        <v>0</v>
      </c>
    </row>
    <row s="1644" customFormat="1" customHeight="1" ht="22.5">
      <c r="A24" s="2420"/>
      <c r="C24" s="965"/>
      <c r="D24" s="962" t="s">
        <v>873</v>
      </c>
      <c r="E24" s="585" t="s">
        <v>874</v>
      </c>
      <c r="F24" s="959" t="s">
        <v>875</v>
      </c>
      <c r="G24" s="689"/>
      <c r="H24" s="695"/>
      <c r="I24" s="689">
        <v>0</v>
      </c>
      <c r="J24" s="695"/>
      <c r="K24" s="689">
        <v>0</v>
      </c>
      <c r="L24" s="2381"/>
      <c r="M24" s="689">
        <v>0</v>
      </c>
      <c r="N24" s="2381"/>
      <c r="O24" s="689"/>
      <c r="P24" s="2381"/>
      <c r="Q24" s="957"/>
      <c r="R24" s="729"/>
      <c r="AC24" s="684"/>
      <c r="AD24" s="767">
        <v>0</v>
      </c>
    </row>
    <row s="1644" customFormat="1" customHeight="1" ht="22.5">
      <c r="A25" s="2420"/>
      <c r="C25" s="965"/>
      <c r="D25" s="962" t="s">
        <v>876</v>
      </c>
      <c r="E25" s="585" t="s">
        <v>877</v>
      </c>
      <c r="F25" s="959" t="s">
        <v>321</v>
      </c>
      <c r="G25" s="959" t="s">
        <v>321</v>
      </c>
      <c r="H25" s="958" t="s">
        <v>321</v>
      </c>
      <c r="I25" s="959" t="s">
        <v>321</v>
      </c>
      <c r="J25" s="958" t="s">
        <v>321</v>
      </c>
      <c r="K25" s="2340" t="s">
        <v>321</v>
      </c>
      <c r="L25" s="2288" t="s">
        <v>321</v>
      </c>
      <c r="M25" s="2340" t="s">
        <v>321</v>
      </c>
      <c r="N25" s="2288" t="s">
        <v>321</v>
      </c>
      <c r="O25" s="2340" t="s">
        <v>321</v>
      </c>
      <c r="P25" s="2288" t="s">
        <v>321</v>
      </c>
      <c r="Q25" s="957"/>
      <c r="R25" s="729"/>
      <c r="AC25" s="684"/>
      <c r="AD25" s="767">
        <v>0</v>
      </c>
    </row>
    <row s="1644" customFormat="1" customHeight="1" ht="18.75">
      <c r="A26" s="2420"/>
      <c r="C26" s="965"/>
      <c r="D26" s="962" t="s">
        <v>878</v>
      </c>
      <c r="E26" s="562" t="s">
        <v>879</v>
      </c>
      <c r="F26" s="959" t="s">
        <v>880</v>
      </c>
      <c r="G26" s="689"/>
      <c r="H26" s="695"/>
      <c r="I26" s="689">
        <v>0</v>
      </c>
      <c r="J26" s="695"/>
      <c r="K26" s="689">
        <v>0</v>
      </c>
      <c r="L26" s="2381"/>
      <c r="M26" s="689">
        <v>0</v>
      </c>
      <c r="N26" s="2381"/>
      <c r="O26" s="689"/>
      <c r="P26" s="2381"/>
      <c r="Q26" s="957"/>
      <c r="R26" s="729"/>
      <c r="AC26" s="684"/>
      <c r="AD26" s="767">
        <v>0</v>
      </c>
    </row>
    <row s="1644" customFormat="1" customHeight="1" ht="18.75">
      <c r="A27" s="2420"/>
      <c r="C27" s="965"/>
      <c r="D27" s="962" t="s">
        <v>881</v>
      </c>
      <c r="E27" s="562" t="s">
        <v>882</v>
      </c>
      <c r="F27" s="959" t="s">
        <v>883</v>
      </c>
      <c r="G27" s="689"/>
      <c r="H27" s="695"/>
      <c r="I27" s="689">
        <v>0</v>
      </c>
      <c r="J27" s="695"/>
      <c r="K27" s="689">
        <v>0</v>
      </c>
      <c r="L27" s="2381"/>
      <c r="M27" s="689">
        <v>0</v>
      </c>
      <c r="N27" s="2381"/>
      <c r="O27" s="689"/>
      <c r="P27" s="2381"/>
      <c r="Q27" s="957"/>
      <c r="R27" s="729"/>
      <c r="AC27" s="684"/>
      <c r="AD27" s="767">
        <v>0</v>
      </c>
    </row>
    <row s="1644" customFormat="1" customHeight="1" ht="18.75">
      <c r="A28" s="2420"/>
      <c r="C28" s="965"/>
      <c r="D28" s="962" t="s">
        <v>884</v>
      </c>
      <c r="E28" s="585" t="s">
        <v>885</v>
      </c>
      <c r="F28" s="959" t="s">
        <v>321</v>
      </c>
      <c r="G28" s="959" t="s">
        <v>321</v>
      </c>
      <c r="H28" s="958" t="s">
        <v>321</v>
      </c>
      <c r="I28" s="959" t="s">
        <v>321</v>
      </c>
      <c r="J28" s="958" t="s">
        <v>321</v>
      </c>
      <c r="K28" s="2340" t="s">
        <v>321</v>
      </c>
      <c r="L28" s="2288" t="s">
        <v>321</v>
      </c>
      <c r="M28" s="2340" t="s">
        <v>321</v>
      </c>
      <c r="N28" s="2288" t="s">
        <v>321</v>
      </c>
      <c r="O28" s="2340" t="s">
        <v>321</v>
      </c>
      <c r="P28" s="2288" t="s">
        <v>321</v>
      </c>
      <c r="Q28" s="957"/>
      <c r="R28" s="729"/>
      <c r="AC28" s="684"/>
      <c r="AD28" s="767">
        <v>0</v>
      </c>
    </row>
    <row s="1644" customFormat="1" customHeight="1" ht="18.75">
      <c r="A29" s="2420"/>
      <c r="C29" s="965"/>
      <c r="D29" s="962" t="s">
        <v>886</v>
      </c>
      <c r="E29" s="562" t="s">
        <v>879</v>
      </c>
      <c r="F29" s="959" t="s">
        <v>887</v>
      </c>
      <c r="G29" s="689"/>
      <c r="H29" s="695"/>
      <c r="I29" s="689">
        <v>0</v>
      </c>
      <c r="J29" s="695"/>
      <c r="K29" s="689">
        <v>0</v>
      </c>
      <c r="L29" s="2381"/>
      <c r="M29" s="689">
        <v>0</v>
      </c>
      <c r="N29" s="2381"/>
      <c r="O29" s="689"/>
      <c r="P29" s="2381"/>
      <c r="Q29" s="957"/>
      <c r="R29" s="729"/>
      <c r="AC29" s="684"/>
      <c r="AD29" s="767">
        <v>0</v>
      </c>
    </row>
    <row s="1644" customFormat="1" customHeight="1" ht="18.75">
      <c r="A30" s="2420"/>
      <c r="C30" s="965"/>
      <c r="D30" s="962" t="s">
        <v>888</v>
      </c>
      <c r="E30" s="562" t="s">
        <v>889</v>
      </c>
      <c r="F30" s="959" t="s">
        <v>890</v>
      </c>
      <c r="G30" s="689"/>
      <c r="H30" s="695"/>
      <c r="I30" s="689">
        <v>0</v>
      </c>
      <c r="J30" s="695"/>
      <c r="K30" s="689">
        <v>0</v>
      </c>
      <c r="L30" s="2381"/>
      <c r="M30" s="689">
        <v>0</v>
      </c>
      <c r="N30" s="2381"/>
      <c r="O30" s="689"/>
      <c r="P30" s="2381"/>
      <c r="Q30" s="957"/>
      <c r="R30" s="729"/>
      <c r="AC30" s="684"/>
      <c r="AD30" s="767">
        <v>0</v>
      </c>
    </row>
    <row customHeight="1" ht="126.75">
      <c r="A31" s="2420"/>
      <c r="D31" s="962" t="s">
        <v>119</v>
      </c>
      <c r="E31" s="288" t="s">
        <v>891</v>
      </c>
      <c r="F31" s="669" t="s">
        <v>571</v>
      </c>
      <c r="G31" s="566"/>
      <c r="H31" s="671"/>
      <c r="I31" s="566">
        <v>100</v>
      </c>
      <c r="J31" s="671"/>
      <c r="K31" s="566">
        <v>100</v>
      </c>
      <c r="L31" s="671"/>
      <c r="M31" s="566">
        <v>100</v>
      </c>
      <c r="N31" s="671"/>
      <c r="O31" s="566">
        <v>100</v>
      </c>
      <c r="P31" s="671"/>
      <c r="Q31" s="298" t="s">
        <v>892</v>
      </c>
      <c r="R31" s="729"/>
      <c r="AD31" s="514">
        <v>0</v>
      </c>
    </row>
    <row customHeight="1" ht="56.25">
      <c r="A32" s="2420"/>
      <c r="D32" s="962" t="s">
        <v>93</v>
      </c>
      <c r="E32" s="288" t="s">
        <v>893</v>
      </c>
      <c r="F32" s="548" t="s">
        <v>860</v>
      </c>
      <c r="G32" s="566"/>
      <c r="H32" s="671"/>
      <c r="I32" s="566">
        <v>3</v>
      </c>
      <c r="J32" s="671"/>
      <c r="K32" s="566">
        <v>3</v>
      </c>
      <c r="L32" s="671"/>
      <c r="M32" s="566">
        <v>3</v>
      </c>
      <c r="N32" s="671"/>
      <c r="O32" s="566">
        <v>3</v>
      </c>
      <c r="P32" s="671"/>
      <c r="Q32" s="298" t="s">
        <v>894</v>
      </c>
      <c r="R32" s="729"/>
      <c r="AD32" s="514">
        <v>0</v>
      </c>
    </row>
    <row customHeight="1" ht="11.25">
      <c r="A33" s="2420"/>
      <c r="E33" s="673"/>
      <c r="F33" s="190"/>
      <c r="G33" s="190"/>
      <c r="H33" s="190"/>
      <c r="I33" s="190"/>
      <c r="J33" s="190"/>
      <c r="K33" s="1073"/>
      <c r="L33" s="1073"/>
      <c r="M33" s="1073"/>
      <c r="N33" s="1073"/>
      <c r="O33" s="1073"/>
      <c r="P33" s="1073"/>
      <c r="Q33" s="190"/>
      <c r="AD33" s="514">
        <v>0</v>
      </c>
    </row>
    <row customHeight="1" ht="12.75">
      <c r="A34" s="2420"/>
      <c r="D34" s="74">
        <v>1</v>
      </c>
      <c r="E34" s="344" t="s">
        <v>895</v>
      </c>
      <c r="K34" s="1644"/>
      <c r="L34" s="1644"/>
      <c r="M34" s="1644"/>
      <c r="N34" s="1644"/>
      <c r="O34" s="1644"/>
      <c r="P34" s="1644"/>
      <c r="AD34" s="514">
        <v>0</v>
      </c>
    </row>
    <row customHeight="1" ht="11.25">
      <c r="A35" s="2420"/>
      <c r="D35" s="378"/>
      <c r="E35" s="344" t="s">
        <v>896</v>
      </c>
      <c r="K35" s="1644"/>
      <c r="L35" s="1644"/>
      <c r="M35" s="1644"/>
      <c r="N35" s="1644"/>
      <c r="O35" s="1644"/>
      <c r="P35" s="1644"/>
      <c r="AD35" s="514">
        <v>0</v>
      </c>
    </row>
    <row s="1644" customFormat="1" customHeight="1" ht="11.549999999999999">
      <c r="A36" s="1042"/>
      <c r="B36" s="527"/>
      <c r="D36" s="1043"/>
      <c r="E36" s="1044"/>
      <c r="K36" s="1644"/>
      <c r="L36" s="1644"/>
      <c r="M36" s="1644"/>
      <c r="N36" s="1644"/>
      <c r="O36" s="1644"/>
      <c r="P36" s="1644"/>
      <c r="AD36" s="518">
        <v>11</v>
      </c>
    </row>
    <row s="1644" customFormat="1" customHeight="1" ht="22.5" hidden="1">
      <c r="A37" s="2420" t="s">
        <v>897</v>
      </c>
      <c r="B37" s="520"/>
      <c r="D37" s="962">
        <v>1</v>
      </c>
      <c r="E37" s="716" t="s">
        <v>898</v>
      </c>
      <c r="F37" s="669" t="s">
        <v>850</v>
      </c>
      <c r="G37" s="566"/>
      <c r="H37" s="528"/>
      <c r="I37" s="566"/>
      <c r="J37" s="528"/>
      <c r="K37" s="566"/>
      <c r="L37" s="528"/>
      <c r="M37" s="566"/>
      <c r="N37" s="528"/>
      <c r="O37" s="566"/>
      <c r="P37" s="528"/>
      <c r="Q37" s="298" t="s">
        <v>899</v>
      </c>
      <c r="AD37" s="767">
        <v>0</v>
      </c>
    </row>
    <row s="1644" customFormat="1" customHeight="1" ht="22.5" hidden="1">
      <c r="A38" s="2420"/>
      <c r="B38" s="520"/>
      <c r="D38" s="678" t="s">
        <v>103</v>
      </c>
      <c r="E38" s="1041" t="s">
        <v>900</v>
      </c>
      <c r="F38" s="1045" t="s">
        <v>559</v>
      </c>
      <c r="G38" s="1045" t="s">
        <v>559</v>
      </c>
      <c r="H38" s="1039"/>
      <c r="I38" s="1045" t="s">
        <v>559</v>
      </c>
      <c r="J38" s="1039"/>
      <c r="K38" s="1045" t="s">
        <v>559</v>
      </c>
      <c r="L38" s="1039"/>
      <c r="M38" s="1045" t="s">
        <v>559</v>
      </c>
      <c r="N38" s="1039"/>
      <c r="O38" s="1045" t="s">
        <v>559</v>
      </c>
      <c r="P38" s="1039"/>
      <c r="Q38" s="1040"/>
      <c r="AD38" s="767">
        <v>0</v>
      </c>
    </row>
    <row s="1644" customFormat="1" customHeight="1" ht="33.75" hidden="1">
      <c r="A39" s="2420"/>
      <c r="B39" s="520"/>
      <c r="D39" s="674" t="s">
        <v>734</v>
      </c>
      <c r="E39" s="732" t="s">
        <v>901</v>
      </c>
      <c r="F39" s="669" t="s">
        <v>902</v>
      </c>
      <c r="G39" s="677"/>
      <c r="H39" s="1032"/>
      <c r="I39" s="677"/>
      <c r="J39" s="1032"/>
      <c r="K39" s="1178"/>
      <c r="L39" s="1032"/>
      <c r="M39" s="1178"/>
      <c r="N39" s="1032"/>
      <c r="O39" s="1178"/>
      <c r="P39" s="1032"/>
      <c r="Q39" s="298" t="s">
        <v>903</v>
      </c>
      <c r="AD39" s="767">
        <v>0</v>
      </c>
    </row>
    <row s="1644" customFormat="1" customHeight="1" ht="33.75" hidden="1">
      <c r="A40" s="2420"/>
      <c r="B40" s="520"/>
      <c r="D40" s="674" t="s">
        <v>737</v>
      </c>
      <c r="E40" s="732" t="s">
        <v>904</v>
      </c>
      <c r="F40" s="1036" t="s">
        <v>905</v>
      </c>
      <c r="G40" s="750"/>
      <c r="H40" s="1032"/>
      <c r="I40" s="750"/>
      <c r="J40" s="1032"/>
      <c r="K40" s="750"/>
      <c r="L40" s="1032"/>
      <c r="M40" s="750"/>
      <c r="N40" s="1032"/>
      <c r="O40" s="750"/>
      <c r="P40" s="1032"/>
      <c r="Q40" s="298" t="s">
        <v>906</v>
      </c>
      <c r="AD40" s="767">
        <v>0</v>
      </c>
    </row>
    <row s="1644" customFormat="1" customHeight="1" ht="22.5" hidden="1">
      <c r="A41" s="2420"/>
      <c r="B41" s="520"/>
      <c r="D41" s="674" t="s">
        <v>91</v>
      </c>
      <c r="E41" s="731" t="s">
        <v>907</v>
      </c>
      <c r="F41" s="669" t="s">
        <v>559</v>
      </c>
      <c r="G41" s="669" t="s">
        <v>559</v>
      </c>
      <c r="H41" s="1033"/>
      <c r="I41" s="669" t="s">
        <v>559</v>
      </c>
      <c r="J41" s="1033"/>
      <c r="K41" s="2132" t="s">
        <v>559</v>
      </c>
      <c r="L41" s="1033"/>
      <c r="M41" s="2132" t="s">
        <v>559</v>
      </c>
      <c r="N41" s="1033"/>
      <c r="O41" s="2132" t="s">
        <v>559</v>
      </c>
      <c r="P41" s="1033"/>
      <c r="Q41" s="311"/>
      <c r="AD41" s="767">
        <v>0</v>
      </c>
    </row>
    <row s="1644" customFormat="1" customHeight="1" ht="45" hidden="1">
      <c r="A42" s="2420"/>
      <c r="B42" s="520"/>
      <c r="D42" s="674" t="s">
        <v>339</v>
      </c>
      <c r="E42" s="732" t="s">
        <v>908</v>
      </c>
      <c r="F42" s="669" t="s">
        <v>571</v>
      </c>
      <c r="G42" s="566"/>
      <c r="H42" s="1033"/>
      <c r="I42" s="566"/>
      <c r="J42" s="1033"/>
      <c r="K42" s="566"/>
      <c r="L42" s="1033"/>
      <c r="M42" s="566"/>
      <c r="N42" s="1033"/>
      <c r="O42" s="566"/>
      <c r="P42" s="1033"/>
      <c r="Q42" s="311" t="s">
        <v>909</v>
      </c>
      <c r="AD42" s="767">
        <v>0</v>
      </c>
    </row>
    <row s="1644" customFormat="1" customHeight="1" ht="45" hidden="1">
      <c r="A43" s="2420"/>
      <c r="B43" s="520"/>
      <c r="D43" s="674" t="s">
        <v>347</v>
      </c>
      <c r="E43" s="676" t="s">
        <v>910</v>
      </c>
      <c r="F43" s="1037" t="s">
        <v>571</v>
      </c>
      <c r="G43" s="751"/>
      <c r="H43" s="1032"/>
      <c r="I43" s="751"/>
      <c r="J43" s="1032"/>
      <c r="K43" s="751"/>
      <c r="L43" s="1032"/>
      <c r="M43" s="751"/>
      <c r="N43" s="1032"/>
      <c r="O43" s="751"/>
      <c r="P43" s="1032"/>
      <c r="Q43" s="311" t="s">
        <v>911</v>
      </c>
      <c r="AD43" s="767">
        <v>0</v>
      </c>
    </row>
    <row s="1644" customFormat="1" customHeight="1" ht="11.25" hidden="1">
      <c r="A44" s="2420"/>
      <c r="B44" s="520"/>
      <c r="D44" s="674" t="s">
        <v>92</v>
      </c>
      <c r="E44" s="675" t="s">
        <v>912</v>
      </c>
      <c r="F44" s="669" t="s">
        <v>902</v>
      </c>
      <c r="G44" s="677"/>
      <c r="H44" s="1032"/>
      <c r="I44" s="677"/>
      <c r="J44" s="1032"/>
      <c r="K44" s="1178"/>
      <c r="L44" s="1032"/>
      <c r="M44" s="1178"/>
      <c r="N44" s="1032"/>
      <c r="O44" s="1178"/>
      <c r="P44" s="1032"/>
      <c r="Q44" s="298"/>
      <c r="AD44" s="767">
        <v>0</v>
      </c>
    </row>
    <row s="1644" customFormat="1" customHeight="1" ht="11.25" hidden="1">
      <c r="A45" s="2420"/>
      <c r="B45" s="520"/>
      <c r="D45" s="674" t="s">
        <v>782</v>
      </c>
      <c r="E45" s="676" t="s">
        <v>913</v>
      </c>
      <c r="F45" s="669" t="s">
        <v>902</v>
      </c>
      <c r="G45" s="677"/>
      <c r="H45" s="1032"/>
      <c r="I45" s="677"/>
      <c r="J45" s="1032"/>
      <c r="K45" s="1178"/>
      <c r="L45" s="1032"/>
      <c r="M45" s="1178"/>
      <c r="N45" s="1032"/>
      <c r="O45" s="1178"/>
      <c r="P45" s="1032"/>
      <c r="Q45" s="298"/>
      <c r="AD45" s="767">
        <v>0</v>
      </c>
    </row>
    <row s="1644" customFormat="1" customHeight="1" ht="11.25" hidden="1">
      <c r="A46" s="2420"/>
      <c r="B46" s="520"/>
      <c r="D46" s="674" t="s">
        <v>826</v>
      </c>
      <c r="E46" s="676" t="s">
        <v>914</v>
      </c>
      <c r="F46" s="669" t="s">
        <v>902</v>
      </c>
      <c r="G46" s="677"/>
      <c r="H46" s="1032"/>
      <c r="I46" s="677"/>
      <c r="J46" s="1032"/>
      <c r="K46" s="1178"/>
      <c r="L46" s="1032"/>
      <c r="M46" s="1178"/>
      <c r="N46" s="1032"/>
      <c r="O46" s="1178"/>
      <c r="P46" s="1032"/>
      <c r="Q46" s="298"/>
      <c r="AD46" s="767">
        <v>0</v>
      </c>
    </row>
    <row s="1644" customFormat="1" customHeight="1" ht="11.25" hidden="1">
      <c r="A47" s="2420"/>
      <c r="B47" s="520"/>
      <c r="D47" s="674" t="s">
        <v>829</v>
      </c>
      <c r="E47" s="676" t="s">
        <v>915</v>
      </c>
      <c r="F47" s="669" t="s">
        <v>902</v>
      </c>
      <c r="G47" s="677"/>
      <c r="H47" s="1032"/>
      <c r="I47" s="677"/>
      <c r="J47" s="1032"/>
      <c r="K47" s="1178"/>
      <c r="L47" s="1032"/>
      <c r="M47" s="1178"/>
      <c r="N47" s="1032"/>
      <c r="O47" s="1178"/>
      <c r="P47" s="1032"/>
      <c r="Q47" s="298"/>
      <c r="AD47" s="767">
        <v>0</v>
      </c>
    </row>
    <row s="1644" customFormat="1" customHeight="1" ht="11.25" hidden="1">
      <c r="A48" s="2420"/>
      <c r="B48" s="520"/>
      <c r="D48" s="674" t="s">
        <v>916</v>
      </c>
      <c r="E48" s="680" t="s">
        <v>917</v>
      </c>
      <c r="F48" s="669" t="s">
        <v>902</v>
      </c>
      <c r="G48" s="677"/>
      <c r="H48" s="1032"/>
      <c r="I48" s="677"/>
      <c r="J48" s="1032"/>
      <c r="K48" s="1178"/>
      <c r="L48" s="1032"/>
      <c r="M48" s="1178"/>
      <c r="N48" s="1032"/>
      <c r="O48" s="1178"/>
      <c r="P48" s="1032"/>
      <c r="Q48" s="298"/>
      <c r="AD48" s="767">
        <v>0</v>
      </c>
    </row>
    <row s="1644" customFormat="1" customHeight="1" ht="11.25" hidden="1">
      <c r="A49" s="2420"/>
      <c r="B49" s="520"/>
      <c r="D49" s="674" t="s">
        <v>918</v>
      </c>
      <c r="E49" s="680" t="s">
        <v>919</v>
      </c>
      <c r="F49" s="669" t="s">
        <v>902</v>
      </c>
      <c r="G49" s="677"/>
      <c r="H49" s="1032"/>
      <c r="I49" s="677"/>
      <c r="J49" s="1032"/>
      <c r="K49" s="1178"/>
      <c r="L49" s="1032"/>
      <c r="M49" s="1178"/>
      <c r="N49" s="1032"/>
      <c r="O49" s="1178"/>
      <c r="P49" s="1032"/>
      <c r="Q49" s="298"/>
      <c r="AD49" s="767">
        <v>0</v>
      </c>
    </row>
    <row s="1644" customFormat="1" customHeight="1" ht="11.25" hidden="1">
      <c r="A50" s="2420"/>
      <c r="B50" s="520"/>
      <c r="D50" s="674" t="s">
        <v>920</v>
      </c>
      <c r="E50" s="676" t="s">
        <v>921</v>
      </c>
      <c r="F50" s="669" t="s">
        <v>902</v>
      </c>
      <c r="G50" s="677"/>
      <c r="H50" s="1032"/>
      <c r="I50" s="677"/>
      <c r="J50" s="1032"/>
      <c r="K50" s="1178"/>
      <c r="L50" s="1032"/>
      <c r="M50" s="1178"/>
      <c r="N50" s="1032"/>
      <c r="O50" s="1178"/>
      <c r="P50" s="1032"/>
      <c r="Q50" s="298"/>
      <c r="AD50" s="767">
        <v>0</v>
      </c>
    </row>
    <row s="1644" customFormat="1" customHeight="1" ht="11.25" hidden="1">
      <c r="A51" s="2420"/>
      <c r="B51" s="520"/>
      <c r="D51" s="674" t="s">
        <v>922</v>
      </c>
      <c r="E51" s="676" t="s">
        <v>923</v>
      </c>
      <c r="F51" s="669" t="s">
        <v>902</v>
      </c>
      <c r="G51" s="677"/>
      <c r="H51" s="1032"/>
      <c r="I51" s="677"/>
      <c r="J51" s="1032"/>
      <c r="K51" s="1178"/>
      <c r="L51" s="1032"/>
      <c r="M51" s="1178"/>
      <c r="N51" s="1032"/>
      <c r="O51" s="1178"/>
      <c r="P51" s="1032"/>
      <c r="Q51" s="298"/>
      <c r="AD51" s="767">
        <v>0</v>
      </c>
    </row>
    <row s="1644" customFormat="1" customHeight="1" ht="45" hidden="1">
      <c r="A52" s="2420"/>
      <c r="B52" s="520"/>
      <c r="D52" s="674" t="s">
        <v>119</v>
      </c>
      <c r="E52" s="675" t="s">
        <v>924</v>
      </c>
      <c r="F52" s="669" t="s">
        <v>902</v>
      </c>
      <c r="G52" s="677"/>
      <c r="H52" s="1032"/>
      <c r="I52" s="677"/>
      <c r="J52" s="1032"/>
      <c r="K52" s="1178"/>
      <c r="L52" s="1032"/>
      <c r="M52" s="1178"/>
      <c r="N52" s="1032"/>
      <c r="O52" s="1178"/>
      <c r="P52" s="1032"/>
      <c r="Q52" s="298"/>
      <c r="AD52" s="767">
        <v>0</v>
      </c>
    </row>
    <row s="1644" customFormat="1" customHeight="1" ht="11.25" hidden="1">
      <c r="A53" s="2420"/>
      <c r="B53" s="520"/>
      <c r="D53" s="674" t="s">
        <v>328</v>
      </c>
      <c r="E53" s="676" t="s">
        <v>913</v>
      </c>
      <c r="F53" s="669" t="s">
        <v>902</v>
      </c>
      <c r="G53" s="677"/>
      <c r="H53" s="1032"/>
      <c r="I53" s="677"/>
      <c r="J53" s="1032"/>
      <c r="K53" s="1178"/>
      <c r="L53" s="1032"/>
      <c r="M53" s="1178"/>
      <c r="N53" s="1032"/>
      <c r="O53" s="1178"/>
      <c r="P53" s="1032"/>
      <c r="Q53" s="298"/>
      <c r="AD53" s="767">
        <v>0</v>
      </c>
    </row>
    <row s="1644" customFormat="1" customHeight="1" ht="11.25" hidden="1">
      <c r="A54" s="2420"/>
      <c r="B54" s="520"/>
      <c r="D54" s="674" t="s">
        <v>925</v>
      </c>
      <c r="E54" s="676" t="s">
        <v>914</v>
      </c>
      <c r="F54" s="669" t="s">
        <v>902</v>
      </c>
      <c r="G54" s="677"/>
      <c r="H54" s="1032"/>
      <c r="I54" s="677"/>
      <c r="J54" s="1032"/>
      <c r="K54" s="1178"/>
      <c r="L54" s="1032"/>
      <c r="M54" s="1178"/>
      <c r="N54" s="1032"/>
      <c r="O54" s="1178"/>
      <c r="P54" s="1032"/>
      <c r="Q54" s="298"/>
      <c r="AD54" s="767">
        <v>0</v>
      </c>
    </row>
    <row s="1644" customFormat="1" customHeight="1" ht="11.25" hidden="1">
      <c r="A55" s="2420"/>
      <c r="B55" s="520"/>
      <c r="D55" s="674" t="s">
        <v>926</v>
      </c>
      <c r="E55" s="676" t="s">
        <v>915</v>
      </c>
      <c r="F55" s="669" t="s">
        <v>902</v>
      </c>
      <c r="G55" s="677"/>
      <c r="H55" s="1032"/>
      <c r="I55" s="677"/>
      <c r="J55" s="1032"/>
      <c r="K55" s="1178"/>
      <c r="L55" s="1032"/>
      <c r="M55" s="1178"/>
      <c r="N55" s="1032"/>
      <c r="O55" s="1178"/>
      <c r="P55" s="1032"/>
      <c r="Q55" s="298"/>
      <c r="AD55" s="767">
        <v>0</v>
      </c>
    </row>
    <row s="1644" customFormat="1" customHeight="1" ht="11.25" hidden="1">
      <c r="A56" s="2420"/>
      <c r="B56" s="520"/>
      <c r="D56" s="674" t="s">
        <v>927</v>
      </c>
      <c r="E56" s="680" t="s">
        <v>917</v>
      </c>
      <c r="F56" s="669" t="s">
        <v>902</v>
      </c>
      <c r="G56" s="677"/>
      <c r="H56" s="1032"/>
      <c r="I56" s="677"/>
      <c r="J56" s="1032"/>
      <c r="K56" s="1178"/>
      <c r="L56" s="1032"/>
      <c r="M56" s="1178"/>
      <c r="N56" s="1032"/>
      <c r="O56" s="1178"/>
      <c r="P56" s="1032"/>
      <c r="Q56" s="298"/>
      <c r="AD56" s="767">
        <v>0</v>
      </c>
    </row>
    <row s="1644" customFormat="1" customHeight="1" ht="11.25" hidden="1">
      <c r="A57" s="2420"/>
      <c r="B57" s="520"/>
      <c r="D57" s="674" t="s">
        <v>928</v>
      </c>
      <c r="E57" s="680" t="s">
        <v>919</v>
      </c>
      <c r="F57" s="669" t="s">
        <v>902</v>
      </c>
      <c r="G57" s="677"/>
      <c r="H57" s="1032"/>
      <c r="I57" s="677"/>
      <c r="J57" s="1032"/>
      <c r="K57" s="1178"/>
      <c r="L57" s="1032"/>
      <c r="M57" s="1178"/>
      <c r="N57" s="1032"/>
      <c r="O57" s="1178"/>
      <c r="P57" s="1032"/>
      <c r="Q57" s="298"/>
      <c r="AD57" s="767">
        <v>0</v>
      </c>
    </row>
    <row s="1644" customFormat="1" customHeight="1" ht="11.25" hidden="1">
      <c r="A58" s="2420"/>
      <c r="B58" s="520"/>
      <c r="D58" s="674" t="s">
        <v>929</v>
      </c>
      <c r="E58" s="676" t="s">
        <v>921</v>
      </c>
      <c r="F58" s="669" t="s">
        <v>902</v>
      </c>
      <c r="G58" s="677"/>
      <c r="H58" s="1032"/>
      <c r="I58" s="677"/>
      <c r="J58" s="1032"/>
      <c r="K58" s="1178"/>
      <c r="L58" s="1032"/>
      <c r="M58" s="1178"/>
      <c r="N58" s="1032"/>
      <c r="O58" s="1178"/>
      <c r="P58" s="1032"/>
      <c r="Q58" s="298"/>
      <c r="AD58" s="767">
        <v>0</v>
      </c>
    </row>
    <row s="1644" customFormat="1" customHeight="1" ht="11.25" hidden="1">
      <c r="A59" s="2420"/>
      <c r="B59" s="520"/>
      <c r="D59" s="674" t="s">
        <v>930</v>
      </c>
      <c r="E59" s="676" t="s">
        <v>923</v>
      </c>
      <c r="F59" s="669" t="s">
        <v>902</v>
      </c>
      <c r="G59" s="677"/>
      <c r="H59" s="1032"/>
      <c r="I59" s="677"/>
      <c r="J59" s="1032"/>
      <c r="K59" s="1178"/>
      <c r="L59" s="1032"/>
      <c r="M59" s="1178"/>
      <c r="N59" s="1032"/>
      <c r="O59" s="1178"/>
      <c r="P59" s="1032"/>
      <c r="Q59" s="298"/>
      <c r="AD59" s="767">
        <v>0</v>
      </c>
    </row>
    <row s="1644" customFormat="1" customHeight="1" ht="33.75" hidden="1">
      <c r="A60" s="2420"/>
      <c r="B60" s="520"/>
      <c r="D60" s="674" t="s">
        <v>93</v>
      </c>
      <c r="E60" s="675" t="s">
        <v>931</v>
      </c>
      <c r="F60" s="730" t="s">
        <v>571</v>
      </c>
      <c r="G60" s="751"/>
      <c r="H60" s="1032"/>
      <c r="I60" s="751"/>
      <c r="J60" s="1032"/>
      <c r="K60" s="751"/>
      <c r="L60" s="1032"/>
      <c r="M60" s="751"/>
      <c r="N60" s="1032"/>
      <c r="O60" s="751"/>
      <c r="P60" s="1032"/>
      <c r="Q60" s="311" t="s">
        <v>932</v>
      </c>
      <c r="AD60" s="767">
        <v>0</v>
      </c>
    </row>
    <row s="1644" customFormat="1" customHeight="1" ht="33.75" hidden="1">
      <c r="A61" s="2420"/>
      <c r="B61" s="520"/>
      <c r="D61" s="674" t="s">
        <v>94</v>
      </c>
      <c r="E61" s="675" t="s">
        <v>933</v>
      </c>
      <c r="F61" s="735" t="s">
        <v>860</v>
      </c>
      <c r="G61" s="677"/>
      <c r="H61" s="1032"/>
      <c r="I61" s="677"/>
      <c r="J61" s="1032"/>
      <c r="K61" s="1178"/>
      <c r="L61" s="1032"/>
      <c r="M61" s="1178"/>
      <c r="N61" s="1032"/>
      <c r="O61" s="1178"/>
      <c r="P61" s="1032"/>
      <c r="Q61" s="298"/>
      <c r="AD61" s="767">
        <v>0</v>
      </c>
    </row>
    <row s="1644" customFormat="1" customHeight="1" ht="22.5" hidden="1">
      <c r="A62" s="2420"/>
      <c r="B62" s="520" t="s">
        <v>599</v>
      </c>
      <c r="D62" s="674" t="s">
        <v>120</v>
      </c>
      <c r="E62" s="675" t="s">
        <v>934</v>
      </c>
      <c r="F62" s="735" t="s">
        <v>321</v>
      </c>
      <c r="G62" s="391"/>
      <c r="H62" s="1032"/>
      <c r="I62" s="391"/>
      <c r="J62" s="1032"/>
      <c r="K62" s="1173"/>
      <c r="L62" s="1032"/>
      <c r="M62" s="1173"/>
      <c r="N62" s="1032"/>
      <c r="O62" s="1173"/>
      <c r="P62" s="1032"/>
      <c r="Q62" s="298" t="s">
        <v>654</v>
      </c>
      <c r="AD62" s="767">
        <v>0</v>
      </c>
    </row>
    <row s="1644" customFormat="1" customHeight="1" ht="45" hidden="1">
      <c r="A63" s="2420"/>
      <c r="B63" s="520" t="s">
        <v>599</v>
      </c>
      <c r="D63" s="674" t="s">
        <v>935</v>
      </c>
      <c r="E63" s="676" t="s">
        <v>936</v>
      </c>
      <c r="F63" s="730" t="s">
        <v>321</v>
      </c>
      <c r="G63" s="391"/>
      <c r="H63" s="1032"/>
      <c r="I63" s="391"/>
      <c r="J63" s="1032"/>
      <c r="K63" s="1173"/>
      <c r="L63" s="1032"/>
      <c r="M63" s="1173"/>
      <c r="N63" s="1032"/>
      <c r="O63" s="1173"/>
      <c r="P63" s="1032"/>
      <c r="Q63" s="298" t="s">
        <v>654</v>
      </c>
      <c r="AD63" s="767">
        <v>0</v>
      </c>
    </row>
    <row s="1644" customFormat="1" customHeight="1" ht="11.549999999999999">
      <c r="A64" s="1042"/>
      <c r="B64" s="527"/>
      <c r="D64" s="1043"/>
      <c r="E64" s="1044"/>
      <c r="K64" s="1644"/>
      <c r="L64" s="1644"/>
      <c r="M64" s="1644"/>
      <c r="N64" s="1644"/>
      <c r="O64" s="1644"/>
      <c r="P64" s="1644"/>
      <c r="AD64" s="518">
        <v>11</v>
      </c>
    </row>
    <row s="1644" customFormat="1" customHeight="1" ht="22.5" hidden="1">
      <c r="A65" s="2420" t="s">
        <v>937</v>
      </c>
      <c r="B65" s="520"/>
      <c r="D65" s="674">
        <v>1</v>
      </c>
      <c r="E65" s="753" t="s">
        <v>938</v>
      </c>
      <c r="F65" s="749" t="s">
        <v>850</v>
      </c>
      <c r="G65" s="750"/>
      <c r="H65" s="1038"/>
      <c r="I65" s="750"/>
      <c r="J65" s="1038"/>
      <c r="K65" s="750"/>
      <c r="L65" s="1038"/>
      <c r="M65" s="750"/>
      <c r="N65" s="1038"/>
      <c r="O65" s="750"/>
      <c r="P65" s="1038"/>
      <c r="Q65" s="310" t="s">
        <v>939</v>
      </c>
      <c r="AD65" s="767">
        <v>0</v>
      </c>
    </row>
    <row s="1644" customFormat="1" customHeight="1" ht="56.25" hidden="1">
      <c r="A66" s="2420"/>
      <c r="B66" s="520"/>
      <c r="D66" s="752" t="s">
        <v>103</v>
      </c>
      <c r="E66" s="716" t="s">
        <v>940</v>
      </c>
      <c r="F66" s="669" t="s">
        <v>559</v>
      </c>
      <c r="G66" s="669" t="s">
        <v>559</v>
      </c>
      <c r="H66" s="528"/>
      <c r="I66" s="669" t="s">
        <v>559</v>
      </c>
      <c r="J66" s="528"/>
      <c r="K66" s="2132" t="s">
        <v>559</v>
      </c>
      <c r="L66" s="528"/>
      <c r="M66" s="2132" t="s">
        <v>559</v>
      </c>
      <c r="N66" s="528"/>
      <c r="O66" s="2132" t="s">
        <v>559</v>
      </c>
      <c r="P66" s="528"/>
      <c r="Q66" s="298"/>
      <c r="AD66" s="767">
        <v>0</v>
      </c>
    </row>
    <row s="1644" customFormat="1" customHeight="1" ht="33.75" hidden="1">
      <c r="A67" s="2420"/>
      <c r="B67" s="520"/>
      <c r="D67" s="752" t="s">
        <v>731</v>
      </c>
      <c r="E67" s="963" t="s">
        <v>941</v>
      </c>
      <c r="F67" s="669" t="s">
        <v>905</v>
      </c>
      <c r="G67" s="736"/>
      <c r="H67" s="528"/>
      <c r="I67" s="736"/>
      <c r="J67" s="528"/>
      <c r="K67" s="736"/>
      <c r="L67" s="528"/>
      <c r="M67" s="736"/>
      <c r="N67" s="528"/>
      <c r="O67" s="736"/>
      <c r="P67" s="528"/>
      <c r="Q67" s="298"/>
      <c r="AD67" s="767">
        <v>0</v>
      </c>
    </row>
    <row s="1644" customFormat="1" customHeight="1" ht="22.5" hidden="1">
      <c r="A68" s="2420"/>
      <c r="B68" s="520"/>
      <c r="D68" s="752" t="s">
        <v>322</v>
      </c>
      <c r="E68" s="963" t="s">
        <v>942</v>
      </c>
      <c r="F68" s="669" t="s">
        <v>905</v>
      </c>
      <c r="G68" s="736"/>
      <c r="H68" s="528"/>
      <c r="I68" s="736"/>
      <c r="J68" s="528"/>
      <c r="K68" s="736"/>
      <c r="L68" s="528"/>
      <c r="M68" s="736"/>
      <c r="N68" s="528"/>
      <c r="O68" s="736"/>
      <c r="P68" s="528"/>
      <c r="Q68" s="298"/>
      <c r="AD68" s="767">
        <v>0</v>
      </c>
    </row>
    <row s="1644" customFormat="1" customHeight="1" ht="22.5" hidden="1">
      <c r="A69" s="2420"/>
      <c r="B69" s="520"/>
      <c r="D69" s="752" t="s">
        <v>325</v>
      </c>
      <c r="E69" s="963" t="s">
        <v>943</v>
      </c>
      <c r="F69" s="730" t="s">
        <v>571</v>
      </c>
      <c r="G69" s="751"/>
      <c r="H69" s="528"/>
      <c r="I69" s="751"/>
      <c r="J69" s="528"/>
      <c r="K69" s="751"/>
      <c r="L69" s="528"/>
      <c r="M69" s="751"/>
      <c r="N69" s="528"/>
      <c r="O69" s="751"/>
      <c r="P69" s="528"/>
      <c r="Q69" s="298"/>
      <c r="AD69" s="767">
        <v>0</v>
      </c>
    </row>
    <row s="1644" customFormat="1" customHeight="1" ht="22.5" hidden="1">
      <c r="A70" s="2420"/>
      <c r="B70" s="520"/>
      <c r="D70" s="752" t="s">
        <v>751</v>
      </c>
      <c r="E70" s="963" t="s">
        <v>944</v>
      </c>
      <c r="F70" s="730" t="s">
        <v>571</v>
      </c>
      <c r="G70" s="751"/>
      <c r="H70" s="528"/>
      <c r="I70" s="751"/>
      <c r="J70" s="528"/>
      <c r="K70" s="751"/>
      <c r="L70" s="528"/>
      <c r="M70" s="751"/>
      <c r="N70" s="528"/>
      <c r="O70" s="751"/>
      <c r="P70" s="528"/>
      <c r="Q70" s="298"/>
      <c r="AD70" s="767">
        <v>0</v>
      </c>
    </row>
    <row s="1644" customFormat="1" customHeight="1" ht="22.5" hidden="1">
      <c r="A71" s="2420"/>
      <c r="B71" s="520"/>
      <c r="D71" s="674" t="s">
        <v>91</v>
      </c>
      <c r="E71" s="675" t="s">
        <v>945</v>
      </c>
      <c r="F71" s="669" t="s">
        <v>905</v>
      </c>
      <c r="G71" s="566"/>
      <c r="H71" s="1039"/>
      <c r="I71" s="566"/>
      <c r="J71" s="1039"/>
      <c r="K71" s="566"/>
      <c r="L71" s="1039"/>
      <c r="M71" s="566"/>
      <c r="N71" s="1039"/>
      <c r="O71" s="566"/>
      <c r="P71" s="1039"/>
      <c r="Q71" s="311"/>
      <c r="AD71" s="767">
        <v>0</v>
      </c>
    </row>
    <row s="1644" customFormat="1" customHeight="1" ht="56.25" hidden="1">
      <c r="A72" s="2420"/>
      <c r="B72" s="520"/>
      <c r="D72" s="674" t="s">
        <v>92</v>
      </c>
      <c r="E72" s="675" t="s">
        <v>946</v>
      </c>
      <c r="F72" s="730" t="s">
        <v>571</v>
      </c>
      <c r="G72" s="751"/>
      <c r="H72" s="1032"/>
      <c r="I72" s="751"/>
      <c r="J72" s="1032"/>
      <c r="K72" s="751"/>
      <c r="L72" s="1032"/>
      <c r="M72" s="751"/>
      <c r="N72" s="1032"/>
      <c r="O72" s="751"/>
      <c r="P72" s="1032"/>
      <c r="Q72" s="311"/>
      <c r="AD72" s="767">
        <v>0</v>
      </c>
    </row>
    <row s="1644" customFormat="1" customHeight="1" ht="33.75" hidden="1">
      <c r="A73" s="2420"/>
      <c r="B73" s="520"/>
      <c r="D73" s="674" t="s">
        <v>119</v>
      </c>
      <c r="E73" s="675" t="s">
        <v>947</v>
      </c>
      <c r="F73" s="735" t="s">
        <v>860</v>
      </c>
      <c r="G73" s="677"/>
      <c r="H73" s="1032"/>
      <c r="I73" s="677"/>
      <c r="J73" s="1032"/>
      <c r="K73" s="1178"/>
      <c r="L73" s="1032"/>
      <c r="M73" s="1178"/>
      <c r="N73" s="1032"/>
      <c r="O73" s="1178"/>
      <c r="P73" s="1032"/>
      <c r="Q73" s="298"/>
      <c r="AD73" s="767">
        <v>0</v>
      </c>
    </row>
    <row s="1644" customFormat="1" customHeight="1" ht="22.5" hidden="1">
      <c r="A74" s="2420"/>
      <c r="B74" s="520" t="s">
        <v>599</v>
      </c>
      <c r="D74" s="674" t="s">
        <v>93</v>
      </c>
      <c r="E74" s="675" t="s">
        <v>948</v>
      </c>
      <c r="F74" s="735" t="s">
        <v>321</v>
      </c>
      <c r="G74" s="391"/>
      <c r="H74" s="1032"/>
      <c r="I74" s="391"/>
      <c r="J74" s="1032"/>
      <c r="K74" s="1173"/>
      <c r="L74" s="1032"/>
      <c r="M74" s="1173"/>
      <c r="N74" s="1032"/>
      <c r="O74" s="1173"/>
      <c r="P74" s="1032"/>
      <c r="Q74" s="298" t="s">
        <v>654</v>
      </c>
      <c r="AD74" s="767">
        <v>0</v>
      </c>
    </row>
    <row s="1644" customFormat="1" customHeight="1" ht="45" hidden="1">
      <c r="A75" s="2420"/>
      <c r="B75" s="520" t="s">
        <v>599</v>
      </c>
      <c r="D75" s="674" t="s">
        <v>675</v>
      </c>
      <c r="E75" s="676" t="s">
        <v>949</v>
      </c>
      <c r="F75" s="730" t="s">
        <v>321</v>
      </c>
      <c r="G75" s="391"/>
      <c r="H75" s="1032"/>
      <c r="I75" s="391"/>
      <c r="J75" s="1032"/>
      <c r="K75" s="1173"/>
      <c r="L75" s="1032"/>
      <c r="M75" s="1173"/>
      <c r="N75" s="1032"/>
      <c r="O75" s="1173"/>
      <c r="P75" s="1032"/>
      <c r="Q75" s="298" t="s">
        <v>654</v>
      </c>
      <c r="AD75" s="767">
        <v>0</v>
      </c>
    </row>
    <row s="1644" customFormat="1" customHeight="1" ht="11.549999999999999">
      <c r="A76" s="1042"/>
      <c r="B76" s="527"/>
      <c r="D76" s="1043"/>
      <c r="E76" s="1044"/>
      <c r="K76" s="1644"/>
      <c r="L76" s="1644"/>
      <c r="M76" s="1644"/>
      <c r="N76" s="1644"/>
      <c r="O76" s="1644"/>
      <c r="P76" s="1644"/>
      <c r="AD76" s="518">
        <v>11</v>
      </c>
    </row>
    <row s="1644" customFormat="1" customHeight="1" ht="11.25" hidden="1">
      <c r="A77" s="2420" t="s">
        <v>950</v>
      </c>
      <c r="B77" s="520"/>
      <c r="D77" s="674">
        <v>1</v>
      </c>
      <c r="E77" s="675" t="s">
        <v>951</v>
      </c>
      <c r="F77" s="730" t="s">
        <v>850</v>
      </c>
      <c r="G77" s="733"/>
      <c r="H77" s="1032"/>
      <c r="I77" s="733"/>
      <c r="J77" s="1032"/>
      <c r="K77" s="733"/>
      <c r="L77" s="1032"/>
      <c r="M77" s="733"/>
      <c r="N77" s="1032"/>
      <c r="O77" s="733"/>
      <c r="P77" s="1032"/>
      <c r="Q77" s="298" t="s">
        <v>952</v>
      </c>
      <c r="AD77" s="767">
        <v>0</v>
      </c>
    </row>
    <row s="1644" customFormat="1" customHeight="1" ht="11.25" hidden="1">
      <c r="A78" s="2420"/>
      <c r="B78" s="520"/>
      <c r="D78" s="674" t="s">
        <v>103</v>
      </c>
      <c r="E78" s="675" t="s">
        <v>953</v>
      </c>
      <c r="F78" s="730" t="s">
        <v>850</v>
      </c>
      <c r="G78" s="733"/>
      <c r="H78" s="1032"/>
      <c r="I78" s="733"/>
      <c r="J78" s="1032"/>
      <c r="K78" s="733"/>
      <c r="L78" s="1032"/>
      <c r="M78" s="733"/>
      <c r="N78" s="1032"/>
      <c r="O78" s="733"/>
      <c r="P78" s="1032"/>
      <c r="Q78" s="298" t="s">
        <v>954</v>
      </c>
      <c r="AD78" s="767">
        <v>0</v>
      </c>
    </row>
    <row s="1644" customFormat="1" customHeight="1" ht="22.5" hidden="1">
      <c r="A79" s="2420"/>
      <c r="B79" s="520"/>
      <c r="D79" s="674" t="s">
        <v>91</v>
      </c>
      <c r="E79" s="731" t="s">
        <v>955</v>
      </c>
      <c r="F79" s="669" t="s">
        <v>902</v>
      </c>
      <c r="G79" s="733"/>
      <c r="H79" s="1032"/>
      <c r="I79" s="733"/>
      <c r="J79" s="1032"/>
      <c r="K79" s="733"/>
      <c r="L79" s="1032"/>
      <c r="M79" s="733"/>
      <c r="N79" s="1032"/>
      <c r="O79" s="733"/>
      <c r="P79" s="1032"/>
      <c r="Q79" s="298" t="s">
        <v>956</v>
      </c>
      <c r="AD79" s="767">
        <v>0</v>
      </c>
    </row>
    <row s="1644" customFormat="1" customHeight="1" ht="11.25" hidden="1">
      <c r="A80" s="2420"/>
      <c r="B80" s="520"/>
      <c r="D80" s="674" t="s">
        <v>339</v>
      </c>
      <c r="E80" s="732" t="s">
        <v>957</v>
      </c>
      <c r="F80" s="669" t="s">
        <v>902</v>
      </c>
      <c r="G80" s="733"/>
      <c r="H80" s="1032"/>
      <c r="I80" s="733"/>
      <c r="J80" s="1032"/>
      <c r="K80" s="733"/>
      <c r="L80" s="1032"/>
      <c r="M80" s="733"/>
      <c r="N80" s="1032"/>
      <c r="O80" s="733"/>
      <c r="P80" s="1032"/>
      <c r="Q80" s="298"/>
      <c r="AD80" s="767">
        <v>0</v>
      </c>
    </row>
    <row s="1644" customFormat="1" customHeight="1" ht="11.25" hidden="1">
      <c r="A81" s="2420"/>
      <c r="B81" s="520"/>
      <c r="D81" s="674" t="s">
        <v>347</v>
      </c>
      <c r="E81" s="732" t="s">
        <v>958</v>
      </c>
      <c r="F81" s="669" t="s">
        <v>902</v>
      </c>
      <c r="G81" s="733"/>
      <c r="H81" s="1032"/>
      <c r="I81" s="733"/>
      <c r="J81" s="1032"/>
      <c r="K81" s="733"/>
      <c r="L81" s="1032"/>
      <c r="M81" s="733"/>
      <c r="N81" s="1032"/>
      <c r="O81" s="733"/>
      <c r="P81" s="1032"/>
      <c r="Q81" s="298"/>
      <c r="AD81" s="767">
        <v>0</v>
      </c>
    </row>
    <row s="1644" customFormat="1" customHeight="1" ht="11.25" hidden="1">
      <c r="A82" s="2420"/>
      <c r="B82" s="520"/>
      <c r="D82" s="674" t="s">
        <v>349</v>
      </c>
      <c r="E82" s="732" t="s">
        <v>959</v>
      </c>
      <c r="F82" s="669" t="s">
        <v>902</v>
      </c>
      <c r="G82" s="733"/>
      <c r="H82" s="1032"/>
      <c r="I82" s="733"/>
      <c r="J82" s="1032"/>
      <c r="K82" s="733"/>
      <c r="L82" s="1032"/>
      <c r="M82" s="733"/>
      <c r="N82" s="1032"/>
      <c r="O82" s="733"/>
      <c r="P82" s="1032"/>
      <c r="Q82" s="298"/>
      <c r="AD82" s="767">
        <v>0</v>
      </c>
    </row>
    <row s="1644" customFormat="1" customHeight="1" ht="11.25" hidden="1">
      <c r="A83" s="2420"/>
      <c r="B83" s="520"/>
      <c r="D83" s="674" t="s">
        <v>351</v>
      </c>
      <c r="E83" s="732" t="s">
        <v>960</v>
      </c>
      <c r="F83" s="669" t="s">
        <v>902</v>
      </c>
      <c r="G83" s="733"/>
      <c r="H83" s="1032"/>
      <c r="I83" s="733"/>
      <c r="J83" s="1032"/>
      <c r="K83" s="733"/>
      <c r="L83" s="1032"/>
      <c r="M83" s="733"/>
      <c r="N83" s="1032"/>
      <c r="O83" s="733"/>
      <c r="P83" s="1032"/>
      <c r="Q83" s="298"/>
      <c r="AD83" s="767">
        <v>0</v>
      </c>
    </row>
    <row s="1644" customFormat="1" customHeight="1" ht="11.25" hidden="1">
      <c r="A84" s="2420"/>
      <c r="B84" s="520"/>
      <c r="D84" s="674" t="s">
        <v>961</v>
      </c>
      <c r="E84" s="732" t="s">
        <v>962</v>
      </c>
      <c r="F84" s="669" t="s">
        <v>902</v>
      </c>
      <c r="G84" s="733"/>
      <c r="H84" s="1032"/>
      <c r="I84" s="733"/>
      <c r="J84" s="1032"/>
      <c r="K84" s="733"/>
      <c r="L84" s="1032"/>
      <c r="M84" s="733"/>
      <c r="N84" s="1032"/>
      <c r="O84" s="733"/>
      <c r="P84" s="1032"/>
      <c r="Q84" s="298"/>
      <c r="AD84" s="767">
        <v>0</v>
      </c>
    </row>
    <row s="1644" customFormat="1" customHeight="1" ht="11.25" hidden="1">
      <c r="A85" s="2420"/>
      <c r="B85" s="520"/>
      <c r="D85" s="674" t="s">
        <v>963</v>
      </c>
      <c r="E85" s="732" t="s">
        <v>964</v>
      </c>
      <c r="F85" s="669" t="s">
        <v>902</v>
      </c>
      <c r="G85" s="733"/>
      <c r="H85" s="1032"/>
      <c r="I85" s="733"/>
      <c r="J85" s="1032"/>
      <c r="K85" s="733"/>
      <c r="L85" s="1032"/>
      <c r="M85" s="733"/>
      <c r="N85" s="1032"/>
      <c r="O85" s="733"/>
      <c r="P85" s="1032"/>
      <c r="Q85" s="298"/>
      <c r="AD85" s="767">
        <v>0</v>
      </c>
    </row>
    <row s="1644" customFormat="1" customHeight="1" ht="11.25" hidden="1">
      <c r="A86" s="2420"/>
      <c r="B86" s="520"/>
      <c r="D86" s="674" t="s">
        <v>965</v>
      </c>
      <c r="E86" s="732" t="s">
        <v>966</v>
      </c>
      <c r="F86" s="669" t="s">
        <v>902</v>
      </c>
      <c r="G86" s="733"/>
      <c r="H86" s="1032"/>
      <c r="I86" s="733"/>
      <c r="J86" s="1032"/>
      <c r="K86" s="733"/>
      <c r="L86" s="1032"/>
      <c r="M86" s="733"/>
      <c r="N86" s="1032"/>
      <c r="O86" s="733"/>
      <c r="P86" s="1032"/>
      <c r="Q86" s="298"/>
      <c r="AD86" s="767">
        <v>0</v>
      </c>
    </row>
    <row s="1644" customFormat="1" customHeight="1" ht="45" hidden="1">
      <c r="A87" s="2420"/>
      <c r="B87" s="520"/>
      <c r="D87" s="674" t="s">
        <v>92</v>
      </c>
      <c r="E87" s="675" t="s">
        <v>967</v>
      </c>
      <c r="F87" s="669" t="s">
        <v>902</v>
      </c>
      <c r="G87" s="733"/>
      <c r="H87" s="1032"/>
      <c r="I87" s="733"/>
      <c r="J87" s="1032"/>
      <c r="K87" s="733"/>
      <c r="L87" s="1032"/>
      <c r="M87" s="733"/>
      <c r="N87" s="1032"/>
      <c r="O87" s="733"/>
      <c r="P87" s="1032"/>
      <c r="Q87" s="298" t="s">
        <v>968</v>
      </c>
      <c r="AD87" s="767">
        <v>0</v>
      </c>
    </row>
    <row s="1644" customFormat="1" customHeight="1" ht="11.25" hidden="1">
      <c r="A88" s="2420"/>
      <c r="B88" s="520"/>
      <c r="D88" s="674" t="s">
        <v>782</v>
      </c>
      <c r="E88" s="732" t="s">
        <v>957</v>
      </c>
      <c r="F88" s="669" t="s">
        <v>902</v>
      </c>
      <c r="G88" s="733"/>
      <c r="H88" s="1032"/>
      <c r="I88" s="733"/>
      <c r="J88" s="1032"/>
      <c r="K88" s="733"/>
      <c r="L88" s="1032"/>
      <c r="M88" s="733"/>
      <c r="N88" s="1032"/>
      <c r="O88" s="733"/>
      <c r="P88" s="1032"/>
      <c r="Q88" s="298"/>
      <c r="AD88" s="767">
        <v>0</v>
      </c>
    </row>
    <row s="1644" customFormat="1" customHeight="1" ht="11.25" hidden="1">
      <c r="A89" s="2420"/>
      <c r="B89" s="520"/>
      <c r="D89" s="674" t="s">
        <v>826</v>
      </c>
      <c r="E89" s="732" t="s">
        <v>958</v>
      </c>
      <c r="F89" s="669" t="s">
        <v>902</v>
      </c>
      <c r="G89" s="733"/>
      <c r="H89" s="1032"/>
      <c r="I89" s="733"/>
      <c r="J89" s="1032"/>
      <c r="K89" s="733"/>
      <c r="L89" s="1032"/>
      <c r="M89" s="733"/>
      <c r="N89" s="1032"/>
      <c r="O89" s="733"/>
      <c r="P89" s="1032"/>
      <c r="Q89" s="298"/>
      <c r="AD89" s="767">
        <v>0</v>
      </c>
    </row>
    <row s="1644" customFormat="1" customHeight="1" ht="11.25" hidden="1">
      <c r="A90" s="2420"/>
      <c r="B90" s="520"/>
      <c r="D90" s="674" t="s">
        <v>829</v>
      </c>
      <c r="E90" s="732" t="s">
        <v>959</v>
      </c>
      <c r="F90" s="669" t="s">
        <v>902</v>
      </c>
      <c r="G90" s="733"/>
      <c r="H90" s="1032"/>
      <c r="I90" s="733"/>
      <c r="J90" s="1032"/>
      <c r="K90" s="733"/>
      <c r="L90" s="1032"/>
      <c r="M90" s="733"/>
      <c r="N90" s="1032"/>
      <c r="O90" s="733"/>
      <c r="P90" s="1032"/>
      <c r="Q90" s="298"/>
      <c r="AD90" s="767">
        <v>0</v>
      </c>
    </row>
    <row s="1644" customFormat="1" customHeight="1" ht="11.25" hidden="1">
      <c r="A91" s="2420"/>
      <c r="B91" s="520"/>
      <c r="D91" s="674" t="s">
        <v>920</v>
      </c>
      <c r="E91" s="732" t="s">
        <v>960</v>
      </c>
      <c r="F91" s="669" t="s">
        <v>902</v>
      </c>
      <c r="G91" s="733"/>
      <c r="H91" s="1032"/>
      <c r="I91" s="733"/>
      <c r="J91" s="1032"/>
      <c r="K91" s="733"/>
      <c r="L91" s="1032"/>
      <c r="M91" s="733"/>
      <c r="N91" s="1032"/>
      <c r="O91" s="733"/>
      <c r="P91" s="1032"/>
      <c r="Q91" s="298"/>
      <c r="AD91" s="767">
        <v>0</v>
      </c>
    </row>
    <row s="1644" customFormat="1" customHeight="1" ht="11.25" hidden="1">
      <c r="A92" s="2420"/>
      <c r="B92" s="520"/>
      <c r="D92" s="674" t="s">
        <v>922</v>
      </c>
      <c r="E92" s="732" t="s">
        <v>962</v>
      </c>
      <c r="F92" s="669" t="s">
        <v>902</v>
      </c>
      <c r="G92" s="733"/>
      <c r="H92" s="1032"/>
      <c r="I92" s="733"/>
      <c r="J92" s="1032"/>
      <c r="K92" s="733"/>
      <c r="L92" s="1032"/>
      <c r="M92" s="733"/>
      <c r="N92" s="1032"/>
      <c r="O92" s="733"/>
      <c r="P92" s="1032"/>
      <c r="Q92" s="298"/>
      <c r="AD92" s="767">
        <v>0</v>
      </c>
    </row>
    <row s="1644" customFormat="1" customHeight="1" ht="11.25" hidden="1">
      <c r="A93" s="2420"/>
      <c r="B93" s="520"/>
      <c r="D93" s="674" t="s">
        <v>969</v>
      </c>
      <c r="E93" s="732" t="s">
        <v>964</v>
      </c>
      <c r="F93" s="669" t="s">
        <v>902</v>
      </c>
      <c r="G93" s="733"/>
      <c r="H93" s="1032"/>
      <c r="I93" s="733"/>
      <c r="J93" s="1032"/>
      <c r="K93" s="733"/>
      <c r="L93" s="1032"/>
      <c r="M93" s="733"/>
      <c r="N93" s="1032"/>
      <c r="O93" s="733"/>
      <c r="P93" s="1032"/>
      <c r="Q93" s="298"/>
      <c r="AD93" s="767">
        <v>0</v>
      </c>
    </row>
    <row s="1644" customFormat="1" customHeight="1" ht="11.25" hidden="1">
      <c r="A94" s="2420"/>
      <c r="B94" s="520"/>
      <c r="D94" s="674" t="s">
        <v>970</v>
      </c>
      <c r="E94" s="732" t="s">
        <v>966</v>
      </c>
      <c r="F94" s="669" t="s">
        <v>902</v>
      </c>
      <c r="G94" s="733"/>
      <c r="H94" s="1032"/>
      <c r="I94" s="733"/>
      <c r="J94" s="1032"/>
      <c r="K94" s="733"/>
      <c r="L94" s="1032"/>
      <c r="M94" s="733"/>
      <c r="N94" s="1032"/>
      <c r="O94" s="733"/>
      <c r="P94" s="1032"/>
      <c r="Q94" s="298"/>
      <c r="AD94" s="767">
        <v>0</v>
      </c>
    </row>
    <row s="1644" customFormat="1" customHeight="1" ht="24.75" hidden="1">
      <c r="A95" s="2420"/>
      <c r="B95" s="520"/>
      <c r="D95" s="674" t="s">
        <v>119</v>
      </c>
      <c r="E95" s="675" t="s">
        <v>971</v>
      </c>
      <c r="F95" s="734" t="s">
        <v>571</v>
      </c>
      <c r="G95" s="736"/>
      <c r="H95" s="1032"/>
      <c r="I95" s="736"/>
      <c r="J95" s="1032"/>
      <c r="K95" s="736"/>
      <c r="L95" s="1032"/>
      <c r="M95" s="736"/>
      <c r="N95" s="1032"/>
      <c r="O95" s="736"/>
      <c r="P95" s="1032"/>
      <c r="Q95" s="298" t="s">
        <v>972</v>
      </c>
      <c r="AD95" s="767">
        <v>0</v>
      </c>
    </row>
    <row s="1644" customFormat="1" customHeight="1" ht="33.75" hidden="1">
      <c r="A96" s="2420"/>
      <c r="B96" s="520"/>
      <c r="D96" s="674" t="s">
        <v>93</v>
      </c>
      <c r="E96" s="675" t="s">
        <v>973</v>
      </c>
      <c r="F96" s="735" t="s">
        <v>860</v>
      </c>
      <c r="G96" s="737"/>
      <c r="H96" s="1032"/>
      <c r="I96" s="737"/>
      <c r="J96" s="1032"/>
      <c r="K96" s="737"/>
      <c r="L96" s="1032"/>
      <c r="M96" s="737"/>
      <c r="N96" s="1032"/>
      <c r="O96" s="737"/>
      <c r="P96" s="1032"/>
      <c r="Q96" s="298"/>
      <c r="AD96" s="767">
        <v>0</v>
      </c>
    </row>
    <row s="1644" customFormat="1" customHeight="1" ht="22.5" hidden="1">
      <c r="A97" s="2420"/>
      <c r="B97" s="520" t="s">
        <v>599</v>
      </c>
      <c r="D97" s="674" t="s">
        <v>94</v>
      </c>
      <c r="E97" s="675" t="s">
        <v>974</v>
      </c>
      <c r="F97" s="735" t="s">
        <v>321</v>
      </c>
      <c r="G97" s="394"/>
      <c r="H97" s="1032"/>
      <c r="I97" s="394"/>
      <c r="J97" s="1032"/>
      <c r="K97" s="394"/>
      <c r="L97" s="1032"/>
      <c r="M97" s="394"/>
      <c r="N97" s="1032"/>
      <c r="O97" s="394"/>
      <c r="P97" s="1032"/>
      <c r="Q97" s="298" t="s">
        <v>654</v>
      </c>
      <c r="AD97" s="767">
        <v>0</v>
      </c>
    </row>
    <row s="1644" customFormat="1" customHeight="1" ht="45" hidden="1">
      <c r="A98" s="2420"/>
      <c r="B98" s="520" t="s">
        <v>599</v>
      </c>
      <c r="D98" s="674" t="s">
        <v>838</v>
      </c>
      <c r="E98" s="676" t="s">
        <v>975</v>
      </c>
      <c r="F98" s="730" t="s">
        <v>321</v>
      </c>
      <c r="G98" s="394"/>
      <c r="H98" s="1032"/>
      <c r="I98" s="394"/>
      <c r="J98" s="1032"/>
      <c r="K98" s="394"/>
      <c r="L98" s="1032"/>
      <c r="M98" s="394"/>
      <c r="N98" s="1032"/>
      <c r="O98" s="394"/>
      <c r="P98" s="1032"/>
      <c r="Q98" s="298" t="s">
        <v>654</v>
      </c>
      <c r="AD98" s="767">
        <v>0</v>
      </c>
    </row>
    <row s="1644" customFormat="1" customHeight="1" ht="95.25" hidden="1">
      <c r="A99" s="2420"/>
      <c r="B99" s="520" t="s">
        <v>599</v>
      </c>
      <c r="D99" s="674" t="s">
        <v>120</v>
      </c>
      <c r="E99" s="675" t="s">
        <v>976</v>
      </c>
      <c r="F99" s="730" t="s">
        <v>321</v>
      </c>
      <c r="G99" s="394"/>
      <c r="H99" s="1032"/>
      <c r="I99" s="394"/>
      <c r="J99" s="1032"/>
      <c r="K99" s="394"/>
      <c r="L99" s="1032"/>
      <c r="M99" s="394"/>
      <c r="N99" s="1032"/>
      <c r="O99" s="394"/>
      <c r="P99" s="1032"/>
      <c r="Q99" s="298" t="s">
        <v>654</v>
      </c>
      <c r="AD99" s="767">
        <v>0</v>
      </c>
    </row>
    <row s="1644" customFormat="1" customHeight="1" ht="22.5" hidden="1">
      <c r="A100" s="2420"/>
      <c r="B100" s="520" t="s">
        <v>599</v>
      </c>
      <c r="D100" s="674" t="s">
        <v>165</v>
      </c>
      <c r="E100" s="675" t="s">
        <v>977</v>
      </c>
      <c r="F100" s="730" t="s">
        <v>321</v>
      </c>
      <c r="G100" s="394"/>
      <c r="H100" s="1032"/>
      <c r="I100" s="394"/>
      <c r="J100" s="1032"/>
      <c r="K100" s="394"/>
      <c r="L100" s="1032"/>
      <c r="M100" s="394"/>
      <c r="N100" s="1032"/>
      <c r="O100" s="394"/>
      <c r="P100" s="1032"/>
      <c r="Q100" s="298" t="s">
        <v>654</v>
      </c>
      <c r="AD100" s="767">
        <v>0</v>
      </c>
    </row>
    <row s="1644" customFormat="1" customHeight="1" ht="11.549999999999999">
      <c r="A101" s="1042"/>
      <c r="B101" s="527"/>
      <c r="D101" s="1043"/>
      <c r="E101" s="1044"/>
      <c r="K101" s="1644"/>
      <c r="L101" s="1644"/>
      <c r="M101" s="1644"/>
      <c r="N101" s="1644"/>
      <c r="O101" s="1644"/>
      <c r="P101" s="1644"/>
      <c r="AD101" s="518">
        <v>11</v>
      </c>
    </row>
    <row customHeight="1" ht="22.5" hidden="1">
      <c r="A102" s="545" t="s">
        <v>83</v>
      </c>
      <c r="B102" s="520">
        <v>0</v>
      </c>
      <c r="C102" s="514">
        <v>3</v>
      </c>
      <c r="D102" s="514">
        <v>7</v>
      </c>
      <c r="E102" s="514">
        <v>69</v>
      </c>
      <c r="F102" s="514">
        <v>10</v>
      </c>
      <c r="G102" s="514">
        <v>0</v>
      </c>
      <c r="H102" s="514">
        <v>0</v>
      </c>
      <c r="I102" s="767">
        <v>43</v>
      </c>
      <c r="J102" s="767">
        <v>43</v>
      </c>
      <c r="K102" s="1644">
        <v>0</v>
      </c>
      <c r="L102" s="1644">
        <v>0</v>
      </c>
      <c r="M102" s="1644">
        <v>0</v>
      </c>
      <c r="N102" s="1644">
        <v>0</v>
      </c>
      <c r="O102" s="1644">
        <v>0</v>
      </c>
      <c r="P102" s="1644">
        <v>0</v>
      </c>
      <c r="Q102" s="514">
        <v>73</v>
      </c>
      <c r="R102" s="514">
        <v>3</v>
      </c>
      <c r="S102" s="514">
        <v>10</v>
      </c>
      <c r="T102" s="514">
        <v>10</v>
      </c>
      <c r="U102" s="514">
        <v>10</v>
      </c>
      <c r="V102" s="514">
        <v>10</v>
      </c>
      <c r="W102" s="514">
        <v>10</v>
      </c>
      <c r="X102" s="514">
        <v>10</v>
      </c>
      <c r="Y102" s="514">
        <v>10</v>
      </c>
      <c r="Z102" s="514">
        <v>10</v>
      </c>
      <c r="AA102" s="514">
        <v>10</v>
      </c>
      <c r="AB102" s="514">
        <v>10</v>
      </c>
      <c r="AC102" s="514">
        <v>10</v>
      </c>
      <c r="AD102" s="514">
        <v>23</v>
      </c>
    </row>
  </sheetData>
  <sheetProtection sheet="1" formatColumns="0" formatRows="0" autoFilter="0" sort="1" insertRows="1" insertColumns="1" deleteRows="1" deleteColumns="1"/>
  <mergeCells count="27">
    <mergeCell ref="D3:F3"/>
    <mergeCell ref="Q7:Q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J15:J18 L15:L18 N15:N18 P15:P18 J21:J22 L21:L22 N21:N22 P21:P22 J29:J30 L29:L30 N29:N30 P29:P30 J24 L24 N24 P24">
      <formula1>900</formula1>
    </dataValidation>
    <dataValidation type="whole" allowBlank="1" showErrorMessage="1" errorTitle="Ошибка" error="Допускается ввод только неотрицательных целых чисел!" sqref="G16:G17 I16:I17 K16 K17 M16 M17 O16 O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G62:G63 G74:G75 G97:G100 I62:I63 I74:I75 I97:I100 H13:H14 H19 J19 L19 N19 P19 J13:J14 L13:L14 N13:N14 P13:P14 K62 K63 K74 K75 K97 K98 K99 K100 M62 M63 M74 M75 M97 M98 M99 M100 O62 O63 O74 O75 O97 O98 O99 O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formula1>"Не утверждены"</formula1>
    </dataValidation>
  </dataValidations>
  <hyperlinks>
    <hyperlink ref="J19" r:id="rId1" tooltip="Кликните по гиперссылке, чтобы перейти по ней или отредактировать её" xr:uid="{1A315A79-C37A-7B83-E393-0.E2687EAF}"/>
    <hyperlink ref="L19" r:id="rId2" tooltip="Кликните по гиперссылке, чтобы перейти по ней или отредактировать её" xr:uid="{29E7295A-69D3-71EB-D4EE-0.91129FAF}"/>
    <hyperlink ref="N19" r:id="rId3" tooltip="Кликните по гиперссылке, чтобы перейти по ней или отредактировать её" xr:uid="{FF83B61C-77B1-EEBA-1669-0.966BB59D}"/>
  </hyperlink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95A6AD-C489-981B-87EB-0.D0099BD7}" mc:Ignorable="x14ac xr xr2 xr3">
  <sheetPr>
    <tabColor rgb="FFCCCCFF"/>
  </sheetPr>
  <dimension ref="A1:AM25"/>
  <sheetViews>
    <sheetView showGridLines="0" zoomScale="90" workbookViewId="0">
      <pane xSplit="4" ySplit="12" topLeftCell="E13" activePane="bottomRight" state="frozen"/>
      <selection pane="bottomLeft" activeCell="A13" sqref="A13"/>
      <selection pane="topRight" activeCell="E1" sqref="E1"/>
      <selection pane="bottomRight" activeCell="E21" sqref="E21:E23"/>
    </sheetView>
  </sheetViews>
  <sheetFormatPr defaultColWidth="9.140625" customHeight="1" defaultRowHeight="11.25"/>
  <cols>
    <col min="1" max="1" style="1859" width="6.421875" hidden="1" customWidth="1"/>
    <col min="2" max="2" style="1859" width="2.00390625" hidden="1" customWidth="1"/>
    <col min="3" max="3" style="1859" width="3.00390625" customWidth="1"/>
    <col min="4" max="4" style="1859" width="4.00390625" customWidth="1"/>
    <col min="5" max="5" style="1859" width="44.00390625" customWidth="1"/>
    <col min="6" max="6" style="1859" width="6.421875" customWidth="1"/>
    <col min="7" max="7" style="1859" width="4.00390625" customWidth="1"/>
    <col min="8" max="8" style="1859" width="5.00390625" customWidth="1"/>
    <col min="9" max="9" style="1859" width="52.00390625" customWidth="1"/>
    <col min="10" max="10" style="1859" width="7.00390625" customWidth="1"/>
    <col min="11" max="11" style="1859" width="3.00390625" customWidth="1"/>
    <col min="12" max="12" style="1859" width="6.00390625" customWidth="1"/>
    <col min="13" max="13" style="1859" width="56.00390625" customWidth="1"/>
    <col min="14" max="14" style="1379" width="8.00390625" customWidth="1"/>
    <col min="15" max="20" style="1633" width="9.140625" hidden="1"/>
    <col min="21" max="24" style="1275" width="9.140625" hidden="1"/>
    <col min="25" max="37" style="1379" width="9.140625" hidden="1"/>
    <col min="38" max="38" style="1379" width="8.00390625" customWidth="1"/>
    <col min="39" max="39" style="1859" width="9.140625" hidden="1"/>
  </cols>
  <sheetData>
    <row customHeight="1" ht="11.25" hidden="1">
      <c r="AM1" s="592" t="s">
        <v>14</v>
      </c>
    </row>
    <row customHeight="1" ht="11.25" hidden="1">
      <c r="AM2" s="592">
        <v>0</v>
      </c>
    </row>
    <row customHeight="1" ht="11.549999999999999">
      <c r="AM3" s="592">
        <v>11</v>
      </c>
    </row>
    <row customHeight="1" ht="35.699999999999996">
      <c r="A4" s="594"/>
      <c r="B4" s="594"/>
      <c r="D4" s="2147"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2148"/>
      <c r="F4" s="2148"/>
      <c r="G4" s="2148"/>
      <c r="H4" s="2148"/>
      <c r="I4" s="2149"/>
      <c r="J4" s="593"/>
      <c r="K4" s="593"/>
      <c r="L4" s="593"/>
      <c r="M4" s="593"/>
      <c r="AM4" s="592">
        <v>34</v>
      </c>
    </row>
    <row s="598" customFormat="1" customHeight="1" ht="14.699999999999998">
      <c r="A5" s="594"/>
      <c r="B5" s="594"/>
      <c r="C5" s="594"/>
      <c r="D5" s="2150" t="str">
        <f>IF(org=0,"Не определено",org)</f>
        <v>АО "ДГК"</v>
      </c>
      <c r="E5" s="2151"/>
      <c r="F5" s="2151"/>
      <c r="G5" s="2151"/>
      <c r="H5" s="2151"/>
      <c r="I5" s="2152"/>
      <c r="J5" s="595"/>
      <c r="K5" s="595"/>
      <c r="L5" s="595"/>
      <c r="M5" s="595"/>
      <c r="N5" s="595"/>
      <c r="O5" s="879"/>
      <c r="P5" s="879"/>
      <c r="Q5" s="879"/>
      <c r="R5" s="879"/>
      <c r="S5" s="879"/>
      <c r="T5" s="879"/>
      <c r="U5" s="1270"/>
      <c r="V5" s="1270"/>
      <c r="W5" s="1270"/>
      <c r="X5" s="1270"/>
      <c r="Y5" s="595"/>
      <c r="Z5" s="595"/>
      <c r="AA5" s="595"/>
      <c r="AB5" s="595"/>
      <c r="AC5" s="595"/>
      <c r="AD5" s="595"/>
      <c r="AE5" s="595"/>
      <c r="AF5" s="595"/>
      <c r="AG5" s="595"/>
      <c r="AH5" s="595"/>
      <c r="AI5" s="595"/>
      <c r="AJ5" s="595"/>
      <c r="AK5" s="595"/>
      <c r="AL5" s="595"/>
      <c r="AM5" s="596">
        <v>14</v>
      </c>
    </row>
    <row s="598" customFormat="1" customHeight="1" ht="6.3">
      <c r="A6" s="2153"/>
      <c r="B6" s="2153"/>
      <c r="C6" s="2153"/>
      <c r="D6" s="2153"/>
      <c r="E6" s="2153"/>
      <c r="F6" s="2153"/>
      <c r="G6" s="597"/>
      <c r="H6" s="597"/>
      <c r="I6" s="597"/>
      <c r="J6" s="597"/>
      <c r="K6" s="597"/>
      <c r="N6" s="599"/>
      <c r="O6" s="1423"/>
      <c r="P6" s="1423"/>
      <c r="Q6" s="1423"/>
      <c r="R6" s="1423"/>
      <c r="S6" s="1423"/>
      <c r="T6" s="1423"/>
      <c r="U6" s="1273"/>
      <c r="V6" s="1273"/>
      <c r="W6" s="1273"/>
      <c r="X6" s="1273"/>
      <c r="Y6" s="599"/>
      <c r="Z6" s="599"/>
      <c r="AA6" s="599"/>
      <c r="AB6" s="599"/>
      <c r="AC6" s="599"/>
      <c r="AD6" s="599"/>
      <c r="AE6" s="599"/>
      <c r="AF6" s="599"/>
      <c r="AG6" s="599"/>
      <c r="AH6" s="599"/>
      <c r="AI6" s="599"/>
      <c r="AJ6" s="599"/>
      <c r="AK6" s="599"/>
      <c r="AL6" s="599"/>
      <c r="AM6" s="598">
        <v>6</v>
      </c>
    </row>
    <row customHeight="1" ht="45.75" hidden="1">
      <c r="E7" s="215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59"/>
      <c r="G7" s="2159"/>
      <c r="H7" s="2159"/>
      <c r="I7" s="2159"/>
      <c r="J7" s="2159"/>
      <c r="K7" s="2159"/>
      <c r="L7" s="2159"/>
      <c r="M7" s="2159"/>
      <c r="AM7" s="592">
        <v>0</v>
      </c>
    </row>
    <row s="598" customFormat="1" customHeight="1" ht="6.3">
      <c r="A8" s="600"/>
      <c r="B8" s="600"/>
      <c r="C8" s="600"/>
      <c r="D8" s="600"/>
      <c r="E8" s="600"/>
      <c r="F8" s="600"/>
      <c r="G8" s="600"/>
      <c r="H8" s="600"/>
      <c r="I8" s="600"/>
      <c r="J8" s="600"/>
      <c r="K8" s="600"/>
      <c r="L8" s="600"/>
      <c r="M8" s="598"/>
      <c r="N8" s="595"/>
      <c r="O8" s="879"/>
      <c r="P8" s="879"/>
      <c r="Q8" s="879"/>
      <c r="R8" s="879"/>
      <c r="S8" s="879"/>
      <c r="T8" s="879"/>
      <c r="U8" s="1270"/>
      <c r="V8" s="1270"/>
      <c r="W8" s="1270"/>
      <c r="X8" s="1270"/>
      <c r="Y8" s="595"/>
      <c r="Z8" s="595"/>
      <c r="AA8" s="595"/>
      <c r="AB8" s="595"/>
      <c r="AC8" s="595"/>
      <c r="AD8" s="595"/>
      <c r="AE8" s="595"/>
      <c r="AF8" s="595"/>
      <c r="AG8" s="595"/>
      <c r="AH8" s="595"/>
      <c r="AI8" s="595"/>
      <c r="AJ8" s="595"/>
      <c r="AK8" s="595"/>
      <c r="AL8" s="595"/>
      <c r="AM8" s="596">
        <v>6</v>
      </c>
    </row>
    <row customHeight="1" ht="18.75">
      <c r="A9" s="2154"/>
      <c r="B9" s="332"/>
      <c r="C9" s="332"/>
      <c r="D9" s="2155" t="s">
        <v>114</v>
      </c>
      <c r="E9" s="2155"/>
      <c r="F9" s="2156" t="s">
        <v>115</v>
      </c>
      <c r="G9" s="2157"/>
      <c r="H9" s="2157"/>
      <c r="I9" s="2157"/>
      <c r="J9" s="2160" t="s">
        <v>116</v>
      </c>
      <c r="K9" s="2160"/>
      <c r="L9" s="2160"/>
      <c r="M9" s="2160"/>
      <c r="AM9" s="592">
        <v>18</v>
      </c>
    </row>
    <row customHeight="1" ht="24">
      <c r="A10" s="2154"/>
      <c r="B10" s="601"/>
      <c r="C10" s="534"/>
      <c r="D10" s="532" t="s">
        <v>89</v>
      </c>
      <c r="E10" s="532" t="s">
        <v>90</v>
      </c>
      <c r="F10" s="532" t="s">
        <v>117</v>
      </c>
      <c r="G10" s="2161" t="s">
        <v>89</v>
      </c>
      <c r="H10" s="2162"/>
      <c r="I10" s="532" t="s">
        <v>90</v>
      </c>
      <c r="J10" s="532" t="s">
        <v>117</v>
      </c>
      <c r="K10" s="2161" t="s">
        <v>89</v>
      </c>
      <c r="L10" s="2162"/>
      <c r="M10" s="532" t="s">
        <v>90</v>
      </c>
      <c r="N10" s="1636"/>
      <c r="AM10" s="592">
        <v>23</v>
      </c>
    </row>
    <row s="1859" customFormat="1" customHeight="1" ht="11.25" hidden="1">
      <c r="A11" s="602"/>
      <c r="B11" s="602"/>
      <c r="C11" s="602"/>
      <c r="D11" s="603" t="s">
        <v>118</v>
      </c>
      <c r="E11" s="603" t="s">
        <v>103</v>
      </c>
      <c r="F11" s="603" t="s">
        <v>91</v>
      </c>
      <c r="G11" s="2143" t="s">
        <v>92</v>
      </c>
      <c r="H11" s="2144"/>
      <c r="I11" s="603" t="s">
        <v>119</v>
      </c>
      <c r="J11" s="603" t="s">
        <v>93</v>
      </c>
      <c r="K11" s="2145" t="s">
        <v>94</v>
      </c>
      <c r="L11" s="2146"/>
      <c r="M11" s="603" t="s">
        <v>120</v>
      </c>
      <c r="N11" s="1635"/>
      <c r="O11" s="1422"/>
      <c r="P11" s="1424"/>
      <c r="Q11" s="1424"/>
      <c r="R11" s="1424"/>
      <c r="S11" s="1424"/>
      <c r="T11" s="1424"/>
      <c r="U11" s="1274"/>
      <c r="V11" s="1274"/>
      <c r="W11" s="1274"/>
      <c r="X11" s="1274"/>
      <c r="Y11" s="604"/>
      <c r="Z11" s="604"/>
      <c r="AA11" s="604"/>
      <c r="AB11" s="604"/>
      <c r="AC11" s="604"/>
      <c r="AD11" s="604"/>
      <c r="AE11" s="604"/>
      <c r="AF11" s="604"/>
      <c r="AG11" s="604"/>
      <c r="AH11" s="604"/>
      <c r="AI11" s="604"/>
      <c r="AJ11" s="604"/>
      <c r="AK11" s="604"/>
      <c r="AL11" s="604"/>
      <c r="AM11" s="605">
        <v>0</v>
      </c>
    </row>
    <row customHeight="1" ht="1.05">
      <c r="A12" s="606"/>
      <c r="B12" s="607"/>
      <c r="C12" s="607"/>
      <c r="D12" s="608"/>
      <c r="E12" s="376"/>
      <c r="F12" s="609"/>
      <c r="G12" s="1068"/>
      <c r="H12" s="1068"/>
      <c r="I12" s="609"/>
      <c r="J12" s="609"/>
      <c r="K12" s="183"/>
      <c r="L12" s="376"/>
      <c r="M12" s="610"/>
      <c r="N12" s="1636"/>
      <c r="O12" s="1422" t="s">
        <v>121</v>
      </c>
      <c r="P12" s="1422" t="s">
        <v>122</v>
      </c>
      <c r="Q12" s="1422" t="s">
        <v>123</v>
      </c>
      <c r="R12" s="1422" t="s">
        <v>124</v>
      </c>
      <c r="AM12" s="592">
        <v>1</v>
      </c>
    </row>
    <row s="1859" customFormat="1" customHeight="1" ht="15.75">
      <c r="A13" s="302"/>
      <c r="B13" s="302"/>
      <c r="C13" s="535"/>
      <c r="D13" s="2136" t="s">
        <v>118</v>
      </c>
      <c r="E13" s="2137" t="str">
        <f>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3" s="2140" t="s">
        <v>63</v>
      </c>
      <c r="G13" s="2141"/>
      <c r="H13" s="2142">
        <v>1</v>
      </c>
      <c r="I13" s="2133" t="str">
        <f>IF(U13="","",INDEX(TERRITORY_MR_LIST,MATCH(U13,TERRITORY_LIST_ID,0)))</f>
        <v>Территория 1</v>
      </c>
      <c r="J13" s="2135" t="s">
        <v>63</v>
      </c>
      <c r="K13" s="611"/>
      <c r="L13" s="536" t="s">
        <v>118</v>
      </c>
      <c r="M13" s="2662" t="s">
        <v>125</v>
      </c>
      <c r="N13" s="821"/>
      <c r="O13" s="1425" t="s">
        <v>126</v>
      </c>
      <c r="P13" s="1422"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3" s="1422" t="str">
        <f>IF($F$13="нет","без дифференциации",$I$13)</f>
        <v>Территория 1</v>
      </c>
      <c r="R13" s="1422" t="str">
        <f>IF($J$13="нет","без дифференциации",M13)</f>
        <v>Артемовская ТЭЦ, ТС г. Артем</v>
      </c>
      <c r="S13" s="1425"/>
      <c r="T13" s="1425"/>
      <c r="U13" s="1275" t="s">
        <v>99</v>
      </c>
      <c r="V13" s="1275" t="s">
        <v>127</v>
      </c>
      <c r="W13" s="1275"/>
      <c r="X13" s="1275"/>
      <c r="Y13" s="613" t="s">
        <v>128</v>
      </c>
      <c r="Z13" s="613">
        <v>1705000</v>
      </c>
      <c r="AA13" s="613"/>
      <c r="AB13" s="613"/>
      <c r="AC13" s="613"/>
      <c r="AD13" s="613"/>
      <c r="AE13" s="613"/>
      <c r="AF13" s="613"/>
      <c r="AG13" s="613"/>
      <c r="AH13" s="613"/>
      <c r="AI13" s="613"/>
      <c r="AJ13" s="613"/>
      <c r="AK13" s="613"/>
      <c r="AL13" s="613"/>
      <c r="AM13" s="615">
        <v>15</v>
      </c>
    </row>
    <row s="1859" customFormat="1" customHeight="1" ht="15.75">
      <c r="A14" s="302"/>
      <c r="B14" s="302"/>
      <c r="C14" s="185"/>
      <c r="D14" s="2136"/>
      <c r="E14" s="2138"/>
      <c r="F14" s="2135"/>
      <c r="G14" s="2141"/>
      <c r="H14" s="2142"/>
      <c r="I14" s="2134"/>
      <c r="J14" s="2135"/>
      <c r="K14" s="430"/>
      <c r="L14" s="186"/>
      <c r="M14" s="616" t="s">
        <v>129</v>
      </c>
      <c r="N14" s="821"/>
      <c r="O14" s="1425"/>
      <c r="P14" s="1422"/>
      <c r="Q14" s="1422"/>
      <c r="R14" s="1422"/>
      <c r="S14" s="1425"/>
      <c r="T14" s="1425"/>
      <c r="U14" s="1275"/>
      <c r="V14" s="1275"/>
      <c r="W14" s="1275"/>
      <c r="X14" s="1275"/>
      <c r="Y14" s="613"/>
      <c r="Z14" s="613"/>
      <c r="AA14" s="613"/>
      <c r="AB14" s="613"/>
      <c r="AC14" s="613"/>
      <c r="AD14" s="613"/>
      <c r="AE14" s="613"/>
      <c r="AF14" s="613"/>
      <c r="AG14" s="613"/>
      <c r="AH14" s="613"/>
      <c r="AI14" s="613"/>
      <c r="AJ14" s="613"/>
      <c r="AK14" s="613"/>
      <c r="AL14" s="613"/>
      <c r="AM14" s="615">
        <v>15</v>
      </c>
    </row>
    <row customHeight="1" ht="15">
      <c r="A15" s="432"/>
      <c r="B15" s="432"/>
      <c r="C15" s="185"/>
      <c r="D15" s="1829"/>
      <c r="E15" s="1829"/>
      <c r="F15" s="1829"/>
      <c r="G15" s="2589" t="s">
        <v>104</v>
      </c>
      <c r="H15" s="2131" t="s">
        <v>103</v>
      </c>
      <c r="I15" s="2590" t="str">
        <f>IF(U15="","",INDEX(TERRITORY_MR_LIST,MATCH(U15,TERRITORY_LIST_ID,0)))</f>
        <v>Территория 3</v>
      </c>
      <c r="J15" s="2135" t="s">
        <v>63</v>
      </c>
      <c r="K15" s="841"/>
      <c r="L15" s="1790" t="s">
        <v>118</v>
      </c>
      <c r="M15" s="2662" t="s">
        <v>130</v>
      </c>
      <c r="N15" s="613"/>
      <c r="O15" s="613" t="s">
        <v>131</v>
      </c>
      <c r="P15" s="613" t="str">
        <f>$E$13</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5" s="613" t="str">
        <f>IF($F$15="нет","без дифференциации",$I$15)</f>
        <v>Территория 3</v>
      </c>
      <c r="R15" s="613" t="str">
        <f>IF($J$15="нет","без дифференциации",$M$15)</f>
        <v>Партизанская ГРЭС, ТС г. Партизанск</v>
      </c>
      <c r="S15" s="613"/>
      <c r="T15" s="613"/>
      <c r="U15" s="614" t="s">
        <v>108</v>
      </c>
      <c r="V15" s="613"/>
      <c r="W15" s="613"/>
      <c r="X15" s="604"/>
      <c r="Y15" s="604" t="s">
        <v>128</v>
      </c>
      <c r="Z15" s="604">
        <v>1705000</v>
      </c>
      <c r="AA15" s="604"/>
      <c r="AB15" s="604"/>
      <c r="AC15" s="604"/>
      <c r="AD15" s="604"/>
      <c r="AE15" s="604"/>
      <c r="AF15" s="604"/>
      <c r="AG15" s="604"/>
      <c r="AH15" s="604"/>
      <c r="AI15" s="604"/>
      <c r="AJ15" s="604"/>
      <c r="AK15" s="604"/>
      <c r="AL15" s="604"/>
      <c r="AM15" s="1859"/>
    </row>
    <row customHeight="1" ht="15">
      <c r="A16" s="432"/>
      <c r="B16" s="432"/>
      <c r="C16" s="185"/>
      <c r="D16" s="1829"/>
      <c r="E16" s="1829"/>
      <c r="F16" s="1829"/>
      <c r="G16" s="2589"/>
      <c r="H16" s="2131"/>
      <c r="I16" s="2590"/>
      <c r="J16" s="2135"/>
      <c r="K16" s="430"/>
      <c r="L16" s="186"/>
      <c r="M16" s="616" t="s">
        <v>129</v>
      </c>
      <c r="N16" s="613"/>
      <c r="O16" s="613"/>
      <c r="P16" s="613"/>
      <c r="Q16" s="613"/>
      <c r="R16" s="613"/>
      <c r="S16" s="613"/>
      <c r="T16" s="613"/>
      <c r="U16" s="614"/>
      <c r="V16" s="613"/>
      <c r="W16" s="613"/>
      <c r="X16" s="604"/>
      <c r="Y16" s="604"/>
      <c r="Z16" s="604"/>
      <c r="AA16" s="604"/>
      <c r="AB16" s="604"/>
      <c r="AC16" s="604"/>
      <c r="AD16" s="604"/>
      <c r="AE16" s="604"/>
      <c r="AF16" s="604"/>
      <c r="AG16" s="604"/>
      <c r="AH16" s="604"/>
      <c r="AI16" s="604"/>
      <c r="AJ16" s="604"/>
      <c r="AK16" s="604"/>
      <c r="AL16" s="604"/>
      <c r="AM16" s="1859"/>
    </row>
    <row s="1859" customFormat="1" customHeight="1" ht="15.75">
      <c r="A17" s="302"/>
      <c r="B17" s="302"/>
      <c r="C17" s="185"/>
      <c r="D17" s="2136"/>
      <c r="E17" s="2139"/>
      <c r="F17" s="2135"/>
      <c r="G17" s="1069"/>
      <c r="H17" s="1070"/>
      <c r="I17" s="589" t="s">
        <v>132</v>
      </c>
      <c r="J17" s="186"/>
      <c r="K17" s="186"/>
      <c r="L17" s="186"/>
      <c r="M17" s="617"/>
      <c r="N17" s="821"/>
      <c r="O17" s="1425"/>
      <c r="P17" s="1422"/>
      <c r="Q17" s="1422"/>
      <c r="R17" s="1422"/>
      <c r="S17" s="1425"/>
      <c r="T17" s="1425"/>
      <c r="U17" s="1275"/>
      <c r="V17" s="1275"/>
      <c r="W17" s="1275"/>
      <c r="X17" s="1275"/>
      <c r="Y17" s="613"/>
      <c r="Z17" s="613"/>
      <c r="AA17" s="613"/>
      <c r="AB17" s="613"/>
      <c r="AC17" s="613"/>
      <c r="AD17" s="613"/>
      <c r="AE17" s="613"/>
      <c r="AF17" s="613"/>
      <c r="AG17" s="613"/>
      <c r="AH17" s="613"/>
      <c r="AI17" s="613"/>
      <c r="AJ17" s="613"/>
      <c r="AK17" s="613"/>
      <c r="AL17" s="613"/>
      <c r="AM17" s="615">
        <v>15</v>
      </c>
    </row>
    <row customHeight="1" ht="15">
      <c r="A18" s="432"/>
      <c r="B18" s="432"/>
      <c r="C18" s="1736" t="s">
        <v>104</v>
      </c>
      <c r="D18" s="2136" t="s">
        <v>103</v>
      </c>
      <c r="E18" s="2137" t="str">
        <f>INDEX(VD_NAME_LIST,MATCH("4190064",VD_ID_LIST,0))&amp;"; "&amp;INDEX(VD_NAME_LIST,MATCH("4190066",VD_ID_LIST,0))&amp;"; "&amp;INDEX(VD_NAME_LIST,MATCH("4190067",VD_ID_LIST,0))&amp;"; "&amp;INDEX(VD_NAME_LIST,MATCH("4190068",VD_ID_LIST,0))&amp;"; "&amp;INDEX(VD_NAME_LIST,MATCH("4190069",VD_ID_LIST,0))&amp;"; "&amp;INDEX(VD_NAME_LIST,MATCH("4190070",VD_ID_LIST,0))&amp;"; "&amp;INDEX(VD_NAME_LIST,MATCH("4190071",VD_ID_LIST,0))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F18" s="2135" t="s">
        <v>63</v>
      </c>
      <c r="G18" s="2585"/>
      <c r="H18" s="2155">
        <v>1</v>
      </c>
      <c r="I18" s="2663" t="str">
        <f>IF($U$18="","",INDEX(TERRITORY_MR_LIST,MATCH($U$18,TERRITORY_LIST_ID,0)))</f>
        <v>Территория 2</v>
      </c>
      <c r="J18" s="2135" t="s">
        <v>63</v>
      </c>
      <c r="K18" s="841"/>
      <c r="L18" s="1790" t="s">
        <v>118</v>
      </c>
      <c r="M18" s="2662" t="s">
        <v>133</v>
      </c>
      <c r="N18" s="613"/>
      <c r="O18" s="613" t="s">
        <v>134</v>
      </c>
      <c r="P18" s="613" t="str">
        <f>$E$18</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Q18" s="613" t="str">
        <f>IF($F$18="нет","без дифференциации",$I$18)</f>
        <v>Территория 2</v>
      </c>
      <c r="R18" s="613" t="str">
        <f>IF($J$18="нет","без дифференциации",$M$18)</f>
        <v>Восточная ТЭЦ, котельные г. Владивосток, ТС г. Владивосток</v>
      </c>
      <c r="S18" s="613"/>
      <c r="T18" s="613"/>
      <c r="U18" s="614" t="s">
        <v>105</v>
      </c>
      <c r="V18" s="613" t="s">
        <v>135</v>
      </c>
      <c r="W18" s="613"/>
      <c r="X18" s="604"/>
      <c r="Y18" s="604" t="s">
        <v>128</v>
      </c>
      <c r="Z18" s="604">
        <v>1705000</v>
      </c>
      <c r="AA18" s="604"/>
      <c r="AB18" s="604"/>
      <c r="AC18" s="604"/>
      <c r="AD18" s="604"/>
      <c r="AE18" s="604"/>
      <c r="AF18" s="604"/>
      <c r="AG18" s="604"/>
      <c r="AH18" s="604"/>
      <c r="AI18" s="604"/>
      <c r="AJ18" s="604"/>
      <c r="AK18" s="604"/>
      <c r="AL18" s="604"/>
      <c r="AM18" s="1859"/>
    </row>
    <row customHeight="1" ht="15">
      <c r="A19" s="432"/>
      <c r="B19" s="432"/>
      <c r="C19" s="185"/>
      <c r="D19" s="2136"/>
      <c r="E19" s="2138"/>
      <c r="F19" s="2135"/>
      <c r="G19" s="2586"/>
      <c r="H19" s="2155"/>
      <c r="I19" s="2664" t="str">
        <f>IF($U$18="","",INDEX(TERRITORY_MR_LIST,MATCH($U$18,TERRITORY_LIST_ID,0)))</f>
        <v>Территория 2</v>
      </c>
      <c r="J19" s="2135"/>
      <c r="K19" s="430"/>
      <c r="L19" s="186"/>
      <c r="M19" s="616" t="s">
        <v>129</v>
      </c>
      <c r="N19" s="613"/>
      <c r="O19" s="613"/>
      <c r="P19" s="613"/>
      <c r="Q19" s="613"/>
      <c r="R19" s="613"/>
      <c r="S19" s="613"/>
      <c r="T19" s="613"/>
      <c r="U19" s="614"/>
      <c r="V19" s="613"/>
      <c r="W19" s="613"/>
      <c r="X19" s="604"/>
      <c r="Y19" s="604"/>
      <c r="Z19" s="604"/>
      <c r="AA19" s="604"/>
      <c r="AB19" s="604"/>
      <c r="AC19" s="604"/>
      <c r="AD19" s="604"/>
      <c r="AE19" s="604"/>
      <c r="AF19" s="604"/>
      <c r="AG19" s="604"/>
      <c r="AH19" s="604"/>
      <c r="AI19" s="604"/>
      <c r="AJ19" s="604"/>
      <c r="AK19" s="604"/>
      <c r="AL19" s="604"/>
      <c r="AM19" s="1859"/>
    </row>
    <row customHeight="1" ht="15">
      <c r="A20" s="432"/>
      <c r="B20" s="432"/>
      <c r="C20" s="185"/>
      <c r="D20" s="2136"/>
      <c r="E20" s="2139"/>
      <c r="F20" s="2135"/>
      <c r="G20" s="430"/>
      <c r="H20" s="186"/>
      <c r="I20" s="589" t="s">
        <v>132</v>
      </c>
      <c r="J20" s="186"/>
      <c r="K20" s="186"/>
      <c r="L20" s="186"/>
      <c r="M20" s="617"/>
      <c r="N20" s="613"/>
      <c r="O20" s="613"/>
      <c r="P20" s="613"/>
      <c r="Q20" s="613"/>
      <c r="R20" s="613"/>
      <c r="S20" s="613"/>
      <c r="T20" s="613"/>
      <c r="U20" s="614"/>
      <c r="V20" s="613"/>
      <c r="W20" s="613"/>
      <c r="X20" s="604"/>
      <c r="Y20" s="604"/>
      <c r="Z20" s="604"/>
      <c r="AA20" s="604"/>
      <c r="AB20" s="604"/>
      <c r="AC20" s="604"/>
      <c r="AD20" s="604"/>
      <c r="AE20" s="604"/>
      <c r="AF20" s="604"/>
      <c r="AG20" s="604"/>
      <c r="AH20" s="604"/>
      <c r="AI20" s="604"/>
      <c r="AJ20" s="604"/>
      <c r="AK20" s="604"/>
      <c r="AL20" s="604"/>
      <c r="AM20" s="1859"/>
    </row>
    <row customHeight="1" ht="15">
      <c r="A21" s="432"/>
      <c r="B21" s="432"/>
      <c r="C21" s="1736" t="s">
        <v>104</v>
      </c>
      <c r="D21" s="2136" t="s">
        <v>91</v>
      </c>
      <c r="E21" s="2137" t="str">
        <f>INDEX(VD_NAME_LIST,MATCH("4190072",VD_ID_LIST,0))</f>
        <v>Подключение (технологическое присоединение) к системе теплоснабжения</v>
      </c>
      <c r="F21" s="2135" t="s">
        <v>19</v>
      </c>
      <c r="G21" s="2585"/>
      <c r="H21" s="2155">
        <v>1</v>
      </c>
      <c r="I21" s="2587" t="str">
        <f>IF(U21="","",INDEX(TERRITORY_MR_LIST,MATCH(U21,TERRITORY_LIST_ID,0)))</f>
        <v/>
      </c>
      <c r="J21" s="2135" t="s">
        <v>19</v>
      </c>
      <c r="K21" s="841"/>
      <c r="L21" s="1790" t="s">
        <v>118</v>
      </c>
      <c r="M21" s="612"/>
      <c r="N21" s="613"/>
      <c r="O21" s="613" t="s">
        <v>136</v>
      </c>
      <c r="P21" s="613" t="str">
        <f>$E$21</f>
        <v>Подключение (технологическое присоединение) к системе теплоснабжения</v>
      </c>
      <c r="Q21" s="613" t="str">
        <f>IF($F$21="нет","без дифференциации",$I$21)</f>
        <v>без дифференциации</v>
      </c>
      <c r="R21" s="613" t="str">
        <f>IF($J$21="нет","без дифференциации",$M$21)</f>
        <v>без дифференциации</v>
      </c>
      <c r="S21" s="613"/>
      <c r="T21" s="613"/>
      <c r="U21" s="614"/>
      <c r="V21" s="613" t="s">
        <v>137</v>
      </c>
      <c r="W21" s="613"/>
      <c r="X21" s="604"/>
      <c r="Y21" s="604" t="s">
        <v>128</v>
      </c>
      <c r="Z21" s="604">
        <v>1705000</v>
      </c>
      <c r="AA21" s="604"/>
      <c r="AB21" s="604"/>
      <c r="AC21" s="604"/>
      <c r="AD21" s="604"/>
      <c r="AE21" s="604"/>
      <c r="AF21" s="604"/>
      <c r="AG21" s="604"/>
      <c r="AH21" s="604"/>
      <c r="AI21" s="604"/>
      <c r="AJ21" s="604"/>
      <c r="AK21" s="604"/>
      <c r="AL21" s="604"/>
      <c r="AM21" s="1859"/>
    </row>
    <row customHeight="1" ht="15">
      <c r="A22" s="432"/>
      <c r="B22" s="432"/>
      <c r="C22" s="185"/>
      <c r="D22" s="2136"/>
      <c r="E22" s="2138"/>
      <c r="F22" s="2135"/>
      <c r="G22" s="2586"/>
      <c r="H22" s="2155"/>
      <c r="I22" s="2588"/>
      <c r="J22" s="2135"/>
      <c r="K22" s="430"/>
      <c r="L22" s="186"/>
      <c r="M22" s="616" t="s">
        <v>129</v>
      </c>
      <c r="N22" s="613"/>
      <c r="O22" s="613"/>
      <c r="P22" s="613"/>
      <c r="Q22" s="613"/>
      <c r="R22" s="613"/>
      <c r="S22" s="613"/>
      <c r="T22" s="613"/>
      <c r="U22" s="614"/>
      <c r="V22" s="613"/>
      <c r="W22" s="613"/>
      <c r="X22" s="604"/>
      <c r="Y22" s="604"/>
      <c r="Z22" s="604"/>
      <c r="AA22" s="604"/>
      <c r="AB22" s="604"/>
      <c r="AC22" s="604"/>
      <c r="AD22" s="604"/>
      <c r="AE22" s="604"/>
      <c r="AF22" s="604"/>
      <c r="AG22" s="604"/>
      <c r="AH22" s="604"/>
      <c r="AI22" s="604"/>
      <c r="AJ22" s="604"/>
      <c r="AK22" s="604"/>
      <c r="AL22" s="604"/>
      <c r="AM22" s="1859"/>
    </row>
    <row customHeight="1" ht="15">
      <c r="A23" s="432"/>
      <c r="B23" s="432"/>
      <c r="C23" s="185"/>
      <c r="D23" s="2136"/>
      <c r="E23" s="2139"/>
      <c r="F23" s="2135"/>
      <c r="G23" s="430"/>
      <c r="H23" s="186"/>
      <c r="I23" s="589" t="s">
        <v>132</v>
      </c>
      <c r="J23" s="186"/>
      <c r="K23" s="186"/>
      <c r="L23" s="186"/>
      <c r="M23" s="617"/>
      <c r="N23" s="613"/>
      <c r="O23" s="613"/>
      <c r="P23" s="613"/>
      <c r="Q23" s="613"/>
      <c r="R23" s="613"/>
      <c r="S23" s="613"/>
      <c r="T23" s="613"/>
      <c r="U23" s="614"/>
      <c r="V23" s="613"/>
      <c r="W23" s="613"/>
      <c r="X23" s="604"/>
      <c r="Y23" s="604"/>
      <c r="Z23" s="604"/>
      <c r="AA23" s="604"/>
      <c r="AB23" s="604"/>
      <c r="AC23" s="604"/>
      <c r="AD23" s="604"/>
      <c r="AE23" s="604"/>
      <c r="AF23" s="604"/>
      <c r="AG23" s="604"/>
      <c r="AH23" s="604"/>
      <c r="AI23" s="604"/>
      <c r="AJ23" s="604"/>
      <c r="AK23" s="604"/>
      <c r="AL23" s="604"/>
      <c r="AM23" s="1859"/>
    </row>
    <row customHeight="1" ht="15.75">
      <c r="A24" s="618"/>
      <c r="B24" s="144"/>
      <c r="C24" s="815"/>
      <c r="D24" s="430"/>
      <c r="E24" s="580" t="s">
        <v>138</v>
      </c>
      <c r="F24" s="186"/>
      <c r="G24" s="186"/>
      <c r="H24" s="186"/>
      <c r="I24" s="186"/>
      <c r="J24" s="186"/>
      <c r="K24" s="186" t="s">
        <v>22</v>
      </c>
      <c r="L24" s="186"/>
      <c r="M24" s="617"/>
      <c r="N24" s="1636"/>
      <c r="AM24" s="592">
        <v>15</v>
      </c>
    </row>
    <row customHeight="1" ht="11.25" hidden="1">
      <c r="A25" s="592" t="s">
        <v>83</v>
      </c>
      <c r="B25" s="592">
        <v>0</v>
      </c>
      <c r="C25" s="592">
        <v>3</v>
      </c>
      <c r="D25" s="592"/>
      <c r="E25" s="592">
        <v>44</v>
      </c>
      <c r="F25" s="592">
        <v>6</v>
      </c>
      <c r="G25" s="592">
        <v>4</v>
      </c>
      <c r="H25" s="592">
        <v>5</v>
      </c>
      <c r="I25" s="592">
        <v>52</v>
      </c>
      <c r="J25" s="592">
        <v>6</v>
      </c>
      <c r="K25" s="592">
        <v>3</v>
      </c>
      <c r="L25" s="592">
        <v>6</v>
      </c>
      <c r="M25" s="592">
        <v>56</v>
      </c>
      <c r="N25" s="593">
        <v>8</v>
      </c>
      <c r="O25" s="1422">
        <v>0</v>
      </c>
      <c r="P25" s="1422">
        <v>0</v>
      </c>
      <c r="Q25" s="1422">
        <v>0</v>
      </c>
      <c r="R25" s="1422">
        <v>0</v>
      </c>
      <c r="S25" s="1422">
        <v>0</v>
      </c>
      <c r="T25" s="1422">
        <v>0</v>
      </c>
      <c r="U25" s="1272">
        <v>0</v>
      </c>
      <c r="V25" s="1272">
        <v>0</v>
      </c>
      <c r="W25" s="1272">
        <v>0</v>
      </c>
      <c r="X25" s="1272">
        <v>0</v>
      </c>
      <c r="Y25" s="593">
        <v>0</v>
      </c>
      <c r="Z25" s="593">
        <v>0</v>
      </c>
      <c r="AA25" s="593">
        <v>0</v>
      </c>
      <c r="AB25" s="593">
        <v>0</v>
      </c>
      <c r="AC25" s="593">
        <v>0</v>
      </c>
      <c r="AD25" s="593">
        <v>0</v>
      </c>
      <c r="AE25" s="593">
        <v>0</v>
      </c>
      <c r="AF25" s="593">
        <v>0</v>
      </c>
      <c r="AG25" s="593">
        <v>0</v>
      </c>
      <c r="AH25" s="593">
        <v>0</v>
      </c>
      <c r="AI25" s="593">
        <v>0</v>
      </c>
      <c r="AJ25" s="593">
        <v>0</v>
      </c>
      <c r="AK25" s="593">
        <v>0</v>
      </c>
      <c r="AL25" s="593">
        <v>8</v>
      </c>
      <c r="AM25" s="592">
        <v>11</v>
      </c>
    </row>
  </sheetData>
  <sheetProtection sheet="1" formatColumns="0" formatRows="0" autoFilter="0" sort="1" insertRows="1" insertColumns="1" deleteRows="1" deleteColumns="1"/>
  <mergeCells count="3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7"/>
    <mergeCell ref="E13:E17"/>
    <mergeCell ref="F13:F17"/>
    <mergeCell ref="G13:G14"/>
    <mergeCell ref="H13:H14"/>
    <mergeCell ref="G15:G16"/>
    <mergeCell ref="H15:H16"/>
    <mergeCell ref="I15:I16"/>
    <mergeCell ref="J15:J16"/>
    <mergeCell ref="D18:D20"/>
    <mergeCell ref="E18:E20"/>
    <mergeCell ref="F18:F20"/>
    <mergeCell ref="G18:G19"/>
    <mergeCell ref="H18:H19"/>
    <mergeCell ref="I18:I19"/>
    <mergeCell ref="J18:J19"/>
    <mergeCell ref="C18:C20"/>
    <mergeCell ref="D21:D23"/>
    <mergeCell ref="E21:E23"/>
    <mergeCell ref="F21:F23"/>
    <mergeCell ref="G21:G22"/>
    <mergeCell ref="H21:H22"/>
    <mergeCell ref="I21:I22"/>
    <mergeCell ref="J21:J22"/>
    <mergeCell ref="C21:C23"/>
  </mergeCells>
  <dataValidations count="4">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75777F-59BA-FEE8-576B-0.B7860418}" mc:Ignorable="x14ac xr xr2 xr3">
  <sheetPr>
    <tabColor rgb="FFE26B0A"/>
  </sheetPr>
  <dimension ref="A1:AB40"/>
  <sheetViews>
    <sheetView showGridLines="0" zoomScale="90" workbookViewId="0">
      <pane xSplit="8" ySplit="31" topLeftCell="O32" activePane="bottomRight" state="frozen"/>
      <selection pane="bottomLeft" activeCell="A32" sqref="A32"/>
      <selection pane="topRight" activeCell="I1" sqref="I1"/>
      <selection pane="bottomRight" activeCell="O25" sqref="O25"/>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36.00390625" customWidth="1"/>
    <col min="6" max="6" style="1644" width="9.00390625" customWidth="1"/>
    <col min="7" max="7" style="1644" width="25.7109375" hidden="1" customWidth="1"/>
    <col min="8" max="8" style="1644" width="33.7109375" hidden="1" customWidth="1"/>
    <col min="9" max="9" style="1644" width="25.7109375" customWidth="1"/>
    <col min="10" max="10" style="1644" width="33.00390625" customWidth="1"/>
    <col min="11" max="11" style="1644" width="25.7109375" customWidth="1"/>
    <col min="12" max="12" style="1644" width="33.7109375" customWidth="1"/>
    <col min="13" max="13" style="1644" width="25.7109375" customWidth="1"/>
    <col min="14" max="14" style="1644" width="33.7109375" customWidth="1"/>
    <col min="15" max="15" style="1644" width="25.7109375" customWidth="1"/>
    <col min="16" max="16" style="1644" width="33.7109375" customWidth="1"/>
    <col min="17" max="17" style="1375" width="93.00390625" customWidth="1"/>
    <col min="18" max="26" style="1644" width="10.00390625" customWidth="1"/>
    <col min="27" max="27" style="684" width="10.00390625" customWidth="1"/>
    <col min="28" max="28" style="1644" width="10.57421875" hidden="1"/>
  </cols>
  <sheetData>
    <row s="1375" customFormat="1" customHeight="1" ht="22.5" hidden="1">
      <c r="C1" s="681"/>
      <c r="G1" s="426">
        <v>4</v>
      </c>
      <c r="I1" s="426">
        <v>4</v>
      </c>
      <c r="K1" s="1375">
        <v>4</v>
      </c>
      <c r="L1" s="1375"/>
      <c r="M1" s="1375">
        <v>4</v>
      </c>
      <c r="N1" s="1375"/>
      <c r="O1" s="1375">
        <v>4</v>
      </c>
      <c r="P1" s="1375"/>
      <c r="AA1" s="429"/>
      <c r="AB1" s="426" t="s">
        <v>14</v>
      </c>
    </row>
    <row s="1375" customFormat="1" customHeight="1" ht="15" hidden="1">
      <c r="C2" s="681"/>
      <c r="K2" s="1375"/>
      <c r="L2" s="1375"/>
      <c r="M2" s="1375"/>
      <c r="N2" s="1375"/>
      <c r="O2" s="1375"/>
      <c r="P2" s="1375"/>
      <c r="AA2" s="429"/>
      <c r="AB2" s="426">
        <v>0</v>
      </c>
    </row>
    <row customHeight="1" ht="22.5" hidden="1">
      <c r="A3" s="514"/>
      <c r="B3" s="2425"/>
      <c r="C3" s="2426" t="s">
        <v>104</v>
      </c>
      <c r="D3" s="698" t="str">
        <f>B3&amp;".1"</f>
        <v>.1</v>
      </c>
      <c r="E3" s="699" t="s">
        <v>978</v>
      </c>
      <c r="F3" s="700" t="s">
        <v>321</v>
      </c>
      <c r="G3" s="695"/>
      <c r="H3" s="410"/>
      <c r="I3" s="695"/>
      <c r="J3" s="410"/>
      <c r="K3" s="2381"/>
      <c r="L3" s="827"/>
      <c r="M3" s="2381"/>
      <c r="N3" s="827"/>
      <c r="O3" s="2381"/>
      <c r="P3" s="827"/>
      <c r="Q3" s="298" t="s">
        <v>979</v>
      </c>
      <c r="AB3" s="514">
        <v>0</v>
      </c>
    </row>
    <row customHeight="1" ht="15" hidden="1">
      <c r="A4" s="514"/>
      <c r="B4" s="2425"/>
      <c r="C4" s="2426"/>
      <c r="D4" s="698" t="str">
        <f>B3&amp;".2"</f>
        <v>.2</v>
      </c>
      <c r="E4" s="699" t="s">
        <v>980</v>
      </c>
      <c r="F4" s="700" t="s">
        <v>321</v>
      </c>
      <c r="G4" s="1746" t="s">
        <v>22</v>
      </c>
      <c r="H4" s="410"/>
      <c r="I4" s="1746" t="s">
        <v>22</v>
      </c>
      <c r="J4" s="410"/>
      <c r="K4" s="1746" t="s">
        <v>22</v>
      </c>
      <c r="L4" s="827"/>
      <c r="M4" s="1746" t="s">
        <v>22</v>
      </c>
      <c r="N4" s="827"/>
      <c r="O4" s="1746" t="s">
        <v>22</v>
      </c>
      <c r="P4" s="827"/>
      <c r="Q4" s="298" t="s">
        <v>981</v>
      </c>
      <c r="AB4" s="514">
        <v>0</v>
      </c>
    </row>
    <row s="1375" customFormat="1" customHeight="1" ht="15" hidden="1">
      <c r="C5" s="681"/>
      <c r="K5" s="1375"/>
      <c r="L5" s="1375"/>
      <c r="M5" s="1375"/>
      <c r="N5" s="1375"/>
      <c r="O5" s="1375"/>
      <c r="P5" s="1375"/>
      <c r="AA5" s="429"/>
      <c r="AB5" s="426">
        <v>0</v>
      </c>
    </row>
    <row customHeight="1" ht="22.5" hidden="1">
      <c r="A6" s="514"/>
      <c r="B6" s="2425"/>
      <c r="C6" s="2426" t="s">
        <v>104</v>
      </c>
      <c r="D6" s="698" t="str">
        <f>B6&amp;".1"</f>
        <v>.1</v>
      </c>
      <c r="E6" s="699" t="s">
        <v>982</v>
      </c>
      <c r="F6" s="700" t="s">
        <v>321</v>
      </c>
      <c r="G6" s="695"/>
      <c r="H6" s="410"/>
      <c r="I6" s="695"/>
      <c r="J6" s="410"/>
      <c r="K6" s="2381"/>
      <c r="L6" s="827"/>
      <c r="M6" s="2381"/>
      <c r="N6" s="827"/>
      <c r="O6" s="2381"/>
      <c r="P6" s="827"/>
      <c r="Q6" s="298" t="s">
        <v>983</v>
      </c>
      <c r="AB6" s="514">
        <v>0</v>
      </c>
    </row>
    <row customHeight="1" ht="15" hidden="1">
      <c r="A7" s="514"/>
      <c r="B7" s="2425"/>
      <c r="C7" s="2426"/>
      <c r="D7" s="698" t="str">
        <f>B6&amp;".2"</f>
        <v>.2</v>
      </c>
      <c r="E7" s="699" t="s">
        <v>980</v>
      </c>
      <c r="F7" s="700" t="s">
        <v>321</v>
      </c>
      <c r="G7" s="1746" t="s">
        <v>22</v>
      </c>
      <c r="H7" s="410"/>
      <c r="I7" s="1746" t="s">
        <v>22</v>
      </c>
      <c r="J7" s="410"/>
      <c r="K7" s="1746" t="s">
        <v>22</v>
      </c>
      <c r="L7" s="827"/>
      <c r="M7" s="1746" t="s">
        <v>22</v>
      </c>
      <c r="N7" s="827"/>
      <c r="O7" s="1746" t="s">
        <v>22</v>
      </c>
      <c r="P7" s="827"/>
      <c r="Q7" s="298" t="s">
        <v>981</v>
      </c>
      <c r="AB7" s="514">
        <v>0</v>
      </c>
    </row>
    <row s="1375" customFormat="1" customHeight="1" ht="15" hidden="1">
      <c r="C8" s="681"/>
      <c r="K8" s="1375"/>
      <c r="L8" s="1375"/>
      <c r="M8" s="1375"/>
      <c r="N8" s="1375"/>
      <c r="O8" s="1375"/>
      <c r="P8" s="1375"/>
      <c r="AA8" s="429"/>
      <c r="AB8" s="426">
        <v>0</v>
      </c>
    </row>
    <row customHeight="1" ht="22.5" hidden="1">
      <c r="A9" s="514"/>
      <c r="B9" s="2425"/>
      <c r="C9" s="2426" t="s">
        <v>104</v>
      </c>
      <c r="D9" s="698" t="str">
        <f>B9&amp;".1"</f>
        <v>.1</v>
      </c>
      <c r="E9" s="699" t="s">
        <v>984</v>
      </c>
      <c r="F9" s="700" t="s">
        <v>321</v>
      </c>
      <c r="G9" s="706" t="s">
        <v>22</v>
      </c>
      <c r="H9" s="410" t="s">
        <v>22</v>
      </c>
      <c r="I9" s="706" t="s">
        <v>22</v>
      </c>
      <c r="J9" s="410" t="s">
        <v>22</v>
      </c>
      <c r="K9" s="870" t="s">
        <v>22</v>
      </c>
      <c r="L9" s="827" t="s">
        <v>22</v>
      </c>
      <c r="M9" s="870" t="s">
        <v>22</v>
      </c>
      <c r="N9" s="827" t="s">
        <v>22</v>
      </c>
      <c r="O9" s="870" t="s">
        <v>22</v>
      </c>
      <c r="P9" s="827" t="s">
        <v>22</v>
      </c>
      <c r="Q9" s="298"/>
      <c r="AB9" s="514">
        <v>0</v>
      </c>
    </row>
    <row customHeight="1" ht="15" hidden="1">
      <c r="A10" s="514"/>
      <c r="B10" s="2425"/>
      <c r="C10" s="2426"/>
      <c r="D10" s="698" t="str">
        <f>B9&amp;".2"</f>
        <v>.2</v>
      </c>
      <c r="E10" s="699" t="s">
        <v>985</v>
      </c>
      <c r="F10" s="700" t="s">
        <v>321</v>
      </c>
      <c r="G10" s="1740" t="s">
        <v>22</v>
      </c>
      <c r="H10" s="410" t="s">
        <v>22</v>
      </c>
      <c r="I10" s="1740" t="s">
        <v>22</v>
      </c>
      <c r="J10" s="410" t="s">
        <v>22</v>
      </c>
      <c r="K10" s="1740" t="s">
        <v>22</v>
      </c>
      <c r="L10" s="827" t="s">
        <v>22</v>
      </c>
      <c r="M10" s="1740" t="s">
        <v>22</v>
      </c>
      <c r="N10" s="827" t="s">
        <v>22</v>
      </c>
      <c r="O10" s="1740" t="s">
        <v>22</v>
      </c>
      <c r="P10" s="827" t="s">
        <v>22</v>
      </c>
      <c r="Q10" s="298" t="s">
        <v>986</v>
      </c>
      <c r="AB10" s="514">
        <v>0</v>
      </c>
    </row>
    <row customHeight="1" ht="15" hidden="1">
      <c r="A11" s="514"/>
      <c r="B11" s="2425"/>
      <c r="C11" s="2426"/>
      <c r="D11" s="698" t="str">
        <f>B9&amp;".3"</f>
        <v>.3</v>
      </c>
      <c r="E11" s="699" t="s">
        <v>987</v>
      </c>
      <c r="F11" s="700" t="s">
        <v>321</v>
      </c>
      <c r="G11" s="1740" t="s">
        <v>22</v>
      </c>
      <c r="H11" s="410" t="s">
        <v>22</v>
      </c>
      <c r="I11" s="1740" t="s">
        <v>22</v>
      </c>
      <c r="J11" s="410" t="s">
        <v>22</v>
      </c>
      <c r="K11" s="1740" t="s">
        <v>22</v>
      </c>
      <c r="L11" s="827" t="s">
        <v>22</v>
      </c>
      <c r="M11" s="1740" t="s">
        <v>22</v>
      </c>
      <c r="N11" s="827" t="s">
        <v>22</v>
      </c>
      <c r="O11" s="1740" t="s">
        <v>22</v>
      </c>
      <c r="P11" s="827" t="s">
        <v>22</v>
      </c>
      <c r="Q11" s="298" t="s">
        <v>988</v>
      </c>
      <c r="AB11" s="514">
        <v>0</v>
      </c>
    </row>
    <row s="1375" customFormat="1" customHeight="1" ht="15" hidden="1">
      <c r="C12" s="681"/>
      <c r="K12" s="1375"/>
      <c r="L12" s="1375"/>
      <c r="M12" s="1375"/>
      <c r="N12" s="1375"/>
      <c r="O12" s="1375"/>
      <c r="P12" s="1375"/>
      <c r="AA12" s="429"/>
      <c r="AB12" s="426">
        <v>0</v>
      </c>
    </row>
    <row customHeight="1" ht="33.75" hidden="1">
      <c r="A13" s="514"/>
      <c r="B13" s="2425"/>
      <c r="C13" s="2426" t="s">
        <v>104</v>
      </c>
      <c r="D13" s="698" t="str">
        <f>B13&amp;".1"</f>
        <v>.1</v>
      </c>
      <c r="E13" s="699" t="s">
        <v>989</v>
      </c>
      <c r="F13" s="700" t="s">
        <v>321</v>
      </c>
      <c r="G13" s="706" t="s">
        <v>22</v>
      </c>
      <c r="H13" s="410" t="s">
        <v>22</v>
      </c>
      <c r="I13" s="706" t="s">
        <v>22</v>
      </c>
      <c r="J13" s="410" t="s">
        <v>22</v>
      </c>
      <c r="K13" s="870" t="s">
        <v>22</v>
      </c>
      <c r="L13" s="827" t="s">
        <v>22</v>
      </c>
      <c r="M13" s="870" t="s">
        <v>22</v>
      </c>
      <c r="N13" s="827" t="s">
        <v>22</v>
      </c>
      <c r="O13" s="870" t="s">
        <v>22</v>
      </c>
      <c r="P13" s="827" t="s">
        <v>22</v>
      </c>
      <c r="Q13" s="298" t="s">
        <v>990</v>
      </c>
      <c r="AB13" s="514">
        <v>0</v>
      </c>
    </row>
    <row customHeight="1" ht="15" hidden="1">
      <c r="B14" s="2425"/>
      <c r="C14" s="2426"/>
      <c r="D14" s="698" t="str">
        <f>B13&amp;".2"</f>
        <v>.2</v>
      </c>
      <c r="E14" s="699" t="s">
        <v>991</v>
      </c>
      <c r="F14" s="700" t="s">
        <v>321</v>
      </c>
      <c r="G14" s="1740" t="s">
        <v>22</v>
      </c>
      <c r="H14" s="410" t="s">
        <v>22</v>
      </c>
      <c r="I14" s="1740" t="s">
        <v>22</v>
      </c>
      <c r="J14" s="410" t="s">
        <v>22</v>
      </c>
      <c r="K14" s="1740" t="s">
        <v>22</v>
      </c>
      <c r="L14" s="827" t="s">
        <v>22</v>
      </c>
      <c r="M14" s="1740" t="s">
        <v>22</v>
      </c>
      <c r="N14" s="827" t="s">
        <v>22</v>
      </c>
      <c r="O14" s="1740" t="s">
        <v>22</v>
      </c>
      <c r="P14" s="827" t="s">
        <v>22</v>
      </c>
      <c r="Q14" s="298" t="s">
        <v>992</v>
      </c>
      <c r="AB14" s="514">
        <v>0</v>
      </c>
    </row>
    <row s="1375" customFormat="1" customHeight="1" ht="15" hidden="1">
      <c r="C15" s="681"/>
      <c r="K15" s="1375"/>
      <c r="L15" s="1375"/>
      <c r="M15" s="1375"/>
      <c r="N15" s="1375"/>
      <c r="O15" s="1375"/>
      <c r="P15" s="1375"/>
      <c r="AA15" s="429"/>
      <c r="AB15" s="426">
        <v>0</v>
      </c>
    </row>
    <row s="1375" customFormat="1" customHeight="1" ht="15" hidden="1">
      <c r="C16" s="681"/>
      <c r="K16" s="1375"/>
      <c r="L16" s="1375"/>
      <c r="M16" s="1375"/>
      <c r="N16" s="1375"/>
      <c r="O16" s="1375"/>
      <c r="P16" s="1375"/>
      <c r="AA16" s="429"/>
      <c r="AB16" s="426">
        <v>0</v>
      </c>
    </row>
    <row s="1375" customFormat="1" customHeight="1" ht="15" hidden="1">
      <c r="C17" s="681"/>
      <c r="K17" s="1375"/>
      <c r="L17" s="1375"/>
      <c r="M17" s="1375"/>
      <c r="N17" s="1375"/>
      <c r="O17" s="1375"/>
      <c r="P17" s="1375"/>
      <c r="AA17" s="429"/>
      <c r="AB17" s="426">
        <v>0</v>
      </c>
    </row>
    <row s="1375" customFormat="1" customHeight="1" ht="15" hidden="1">
      <c r="C18" s="681"/>
      <c r="K18" s="1375"/>
      <c r="L18" s="1375"/>
      <c r="M18" s="1375"/>
      <c r="N18" s="1375"/>
      <c r="O18" s="1375"/>
      <c r="P18" s="1375"/>
      <c r="AA18" s="429"/>
      <c r="AB18" s="426">
        <v>0</v>
      </c>
    </row>
    <row s="1375" customFormat="1" customHeight="1" ht="15" hidden="1">
      <c r="C19" s="681"/>
      <c r="K19" s="1375"/>
      <c r="L19" s="1375"/>
      <c r="M19" s="1375"/>
      <c r="N19" s="1375"/>
      <c r="O19" s="1375"/>
      <c r="P19" s="1375"/>
      <c r="AA19" s="429"/>
      <c r="AB19" s="426">
        <v>0</v>
      </c>
    </row>
    <row s="1375" customFormat="1" customHeight="1" ht="15" hidden="1">
      <c r="C20" s="681"/>
      <c r="K20" s="1375"/>
      <c r="L20" s="1375"/>
      <c r="M20" s="1375"/>
      <c r="N20" s="1375"/>
      <c r="O20" s="1375"/>
      <c r="P20" s="1375"/>
      <c r="AA20" s="429"/>
      <c r="AB20" s="426">
        <v>0</v>
      </c>
    </row>
    <row customHeight="1" ht="15.75">
      <c r="C21" s="185"/>
      <c r="D21" s="518"/>
      <c r="E21" s="518"/>
      <c r="F21" s="518"/>
      <c r="G21" s="518"/>
      <c r="H21" s="518"/>
      <c r="I21" s="518"/>
      <c r="J21" s="518"/>
      <c r="K21" s="1644"/>
      <c r="L21" s="1644"/>
      <c r="M21" s="1644"/>
      <c r="N21" s="1644"/>
      <c r="O21" s="1644"/>
      <c r="P21" s="1644"/>
      <c r="AB21" s="514">
        <v>15</v>
      </c>
    </row>
    <row customHeight="1" ht="23.25">
      <c r="C22" s="185"/>
      <c r="D22" s="226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5"/>
      <c r="F22" s="2265"/>
      <c r="G22" s="2265"/>
      <c r="H22" s="2265"/>
      <c r="I22" s="2265"/>
      <c r="J22" s="685"/>
      <c r="K22" s="2276"/>
      <c r="L22" s="2276"/>
      <c r="M22" s="2276"/>
      <c r="N22" s="2276"/>
      <c r="O22" s="2276"/>
      <c r="P22" s="2276"/>
      <c r="Q22" s="546"/>
      <c r="AB22" s="514">
        <v>22</v>
      </c>
    </row>
    <row customHeight="1" ht="15.75">
      <c r="C23" s="185"/>
      <c r="D23" s="2204" t="str">
        <f>IF(org=0,"Не определено",org)</f>
        <v>АО "ДГК"</v>
      </c>
      <c r="E23" s="2204"/>
      <c r="F23" s="2204"/>
      <c r="G23" s="2204"/>
      <c r="H23" s="2204"/>
      <c r="I23" s="2204"/>
      <c r="J23" s="685"/>
      <c r="K23" s="2277"/>
      <c r="L23" s="2277"/>
      <c r="M23" s="2277"/>
      <c r="N23" s="2277"/>
      <c r="O23" s="2277"/>
      <c r="P23" s="2277"/>
      <c r="Q23" s="546"/>
      <c r="AB23" s="514">
        <v>15</v>
      </c>
    </row>
    <row customHeight="1" ht="15.75">
      <c r="C24" s="185"/>
      <c r="D24" s="518"/>
      <c r="E24" s="518"/>
      <c r="F24" s="518"/>
      <c r="G24" s="546">
        <v>22</v>
      </c>
      <c r="H24" s="761"/>
      <c r="I24" s="546">
        <v>22</v>
      </c>
      <c r="J24" s="761"/>
      <c r="K24" s="1375" t="s">
        <v>22</v>
      </c>
      <c r="L24" s="761"/>
      <c r="M24" s="1375" t="s">
        <v>22</v>
      </c>
      <c r="N24" s="761"/>
      <c r="O24" s="1375" t="s">
        <v>22</v>
      </c>
      <c r="P24" s="761"/>
      <c r="AB24" s="514">
        <v>15</v>
      </c>
    </row>
    <row s="1644" customFormat="1" customHeight="1" ht="1.05">
      <c r="A25" s="768"/>
      <c r="C25" s="185"/>
      <c r="D25" s="518"/>
      <c r="E25" s="518"/>
      <c r="F25" s="518"/>
      <c r="G25" s="546"/>
      <c r="H25" s="761"/>
      <c r="I25" s="546" t="s">
        <v>126</v>
      </c>
      <c r="J25" s="761"/>
      <c r="K25" s="1375" t="s">
        <v>131</v>
      </c>
      <c r="L25" s="761"/>
      <c r="M25" s="1375" t="s">
        <v>134</v>
      </c>
      <c r="N25" s="761"/>
      <c r="O25" s="1375" t="s">
        <v>136</v>
      </c>
      <c r="P25" s="761"/>
      <c r="Q25" s="426"/>
      <c r="AA25" s="684"/>
      <c r="AB25" s="767">
        <v>1</v>
      </c>
    </row>
    <row customHeight="1" ht="15.75">
      <c r="C26" s="185"/>
      <c r="D26" s="720"/>
      <c r="E26" s="2395" t="s">
        <v>114</v>
      </c>
      <c r="F26" s="2396"/>
      <c r="G26" s="2423" t="str">
        <f>IF(G25="","",INDEX(DIFFERENTIATION_UNMERGE_VD,MATCH(G25,DIFFERENTIATION_ID_DIFF,0)))</f>
        <v/>
      </c>
      <c r="H26" s="2424"/>
      <c r="I26" s="2423" t="str">
        <f>IF(I25="","",INDEX(DIFFERENTIATION_UNMERGE_VD,MATCH(I25,DIFFERENTIATION_ID_DIFF,0)))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26" s="2424"/>
      <c r="K26" s="2423" t="str">
        <f>IF(K25="","",INDEX(DIFFERENTIATION_UNMERGE_VD,MATCH(K25,DIFFERENTIATION_ID_DIFF,0)))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26" s="2424"/>
      <c r="M26" s="2423" t="str">
        <f>IF(M25="","",INDEX(DIFFERENTIATION_UNMERGE_VD,MATCH(M25,DIFFERENTIATION_ID_DIFF,0)))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26" s="2424"/>
      <c r="O26" s="2423" t="str">
        <f>IF(O25="","",INDEX(DIFFERENTIATION_UNMERGE_VD,MATCH(O25,DIFFERENTIATION_ID_DIFF,0)))</f>
        <v>Подключение (технологическое присоединение) к системе теплоснабжения</v>
      </c>
      <c r="P26" s="2424"/>
      <c r="Q26" s="2203" t="s">
        <v>316</v>
      </c>
      <c r="AB26" s="514">
        <v>15</v>
      </c>
    </row>
    <row s="1644" customFormat="1" customHeight="1" ht="15.75">
      <c r="A27" s="768"/>
      <c r="C27" s="185"/>
      <c r="D27" s="720"/>
      <c r="E27" s="2395" t="s">
        <v>577</v>
      </c>
      <c r="F27" s="2396"/>
      <c r="G27" s="2423" t="str">
        <f>IF(G25="","",INDEX(DIFFERENTIATION_UNMERGE_AREA,MATCH(G25,DIFFERENTIATION_ID_DIFF,0)))</f>
        <v/>
      </c>
      <c r="H27" s="2424"/>
      <c r="I27" s="2423" t="str">
        <f>IF(I25="","",INDEX(DIFFERENTIATION_UNMERGE_AREA,MATCH(I25,DIFFERENTIATION_ID_DIFF,0)))</f>
        <v>Территория 1</v>
      </c>
      <c r="J27" s="2424"/>
      <c r="K27" s="2423" t="str">
        <f>IF(K25="","",INDEX(DIFFERENTIATION_UNMERGE_AREA,MATCH(K25,DIFFERENTIATION_ID_DIFF,0)))</f>
        <v>Территория 3</v>
      </c>
      <c r="L27" s="2424"/>
      <c r="M27" s="2423" t="str">
        <f>IF(M25="","",INDEX(DIFFERENTIATION_UNMERGE_AREA,MATCH(M25,DIFFERENTIATION_ID_DIFF,0)))</f>
        <v>Территория 2</v>
      </c>
      <c r="N27" s="2424"/>
      <c r="O27" s="2423" t="str">
        <f>IF(O25="","",INDEX(DIFFERENTIATION_UNMERGE_AREA,MATCH(O25,DIFFERENTIATION_ID_DIFF,0)))</f>
        <v>без дифференциации</v>
      </c>
      <c r="P27" s="2424"/>
      <c r="Q27" s="2223"/>
      <c r="AA27" s="684"/>
      <c r="AB27" s="767">
        <v>15</v>
      </c>
    </row>
    <row s="1644" customFormat="1" customHeight="1" ht="15.75">
      <c r="A28" s="768"/>
      <c r="C28" s="185"/>
      <c r="D28" s="720"/>
      <c r="E28" s="2395" t="s">
        <v>578</v>
      </c>
      <c r="F28" s="2396"/>
      <c r="G28" s="2423" t="str">
        <f>IF(G25="","",INDEX(DIFFERENTIATION_UNMERGE_SYSTEM,MATCH(G25,DIFFERENTIATION_ID_DIFF,0)))</f>
        <v/>
      </c>
      <c r="H28" s="2424"/>
      <c r="I28" s="2423" t="str">
        <f>IF(I25="","",INDEX(DIFFERENTIATION_UNMERGE_SYSTEM,MATCH(I25,DIFFERENTIATION_ID_DIFF,0)))</f>
        <v>Артемовская ТЭЦ, ТС г. Артем</v>
      </c>
      <c r="J28" s="2424"/>
      <c r="K28" s="2423" t="str">
        <f>IF(K25="","",INDEX(DIFFERENTIATION_UNMERGE_SYSTEM,MATCH(K25,DIFFERENTIATION_ID_DIFF,0)))</f>
        <v>Партизанская ГРЭС, ТС г. Партизанск</v>
      </c>
      <c r="L28" s="2424"/>
      <c r="M28" s="2423" t="str">
        <f>IF(M25="","",INDEX(DIFFERENTIATION_UNMERGE_SYSTEM,MATCH(M25,DIFFERENTIATION_ID_DIFF,0)))</f>
        <v>Восточная ТЭЦ, котельные г. Владивосток, ТС г. Владивосток</v>
      </c>
      <c r="N28" s="2424"/>
      <c r="O28" s="2423" t="str">
        <f>IF(O25="","",INDEX(DIFFERENTIATION_UNMERGE_SYSTEM,MATCH(O25,DIFFERENTIATION_ID_DIFF,0)))</f>
        <v>без дифференциации</v>
      </c>
      <c r="P28" s="2424"/>
      <c r="Q28" s="2223"/>
      <c r="AA28" s="684"/>
      <c r="AB28" s="767">
        <v>15</v>
      </c>
    </row>
    <row s="1644" customFormat="1" customHeight="1" ht="15.75">
      <c r="A29" s="768"/>
      <c r="C29" s="185"/>
      <c r="D29" s="2397" t="s">
        <v>315</v>
      </c>
      <c r="E29" s="2398"/>
      <c r="F29" s="2398"/>
      <c r="G29" s="896"/>
      <c r="H29" s="896"/>
      <c r="I29" s="896"/>
      <c r="J29" s="897"/>
      <c r="K29" s="2395"/>
      <c r="L29" s="2395"/>
      <c r="M29" s="2395"/>
      <c r="N29" s="2395"/>
      <c r="O29" s="2395"/>
      <c r="P29" s="2395"/>
      <c r="Q29" s="2223"/>
      <c r="AA29" s="684"/>
      <c r="AB29" s="767">
        <v>15</v>
      </c>
    </row>
    <row customHeight="1" ht="35.699999999999996">
      <c r="C30" s="185"/>
      <c r="D30" s="770" t="s">
        <v>89</v>
      </c>
      <c r="E30" s="769" t="s">
        <v>317</v>
      </c>
      <c r="F30" s="769" t="s">
        <v>579</v>
      </c>
      <c r="G30" s="817" t="s">
        <v>318</v>
      </c>
      <c r="H30" s="816" t="s">
        <v>405</v>
      </c>
      <c r="I30" s="693" t="s">
        <v>318</v>
      </c>
      <c r="J30" s="474" t="s">
        <v>405</v>
      </c>
      <c r="K30" s="2290" t="s">
        <v>318</v>
      </c>
      <c r="L30" s="2340" t="s">
        <v>405</v>
      </c>
      <c r="M30" s="2290" t="s">
        <v>318</v>
      </c>
      <c r="N30" s="2340" t="s">
        <v>405</v>
      </c>
      <c r="O30" s="2290" t="s">
        <v>318</v>
      </c>
      <c r="P30" s="2340" t="s">
        <v>405</v>
      </c>
      <c r="Q30" s="2229"/>
      <c r="AB30" s="514">
        <v>34</v>
      </c>
    </row>
    <row customHeight="1" ht="15" hidden="1">
      <c r="C31" s="185"/>
      <c r="D31" s="602"/>
      <c r="E31" s="602"/>
      <c r="F31" s="602"/>
      <c r="G31" s="668"/>
      <c r="H31" s="668"/>
      <c r="I31" s="668"/>
      <c r="J31" s="668"/>
      <c r="K31" s="692"/>
      <c r="L31" s="692"/>
      <c r="M31" s="692"/>
      <c r="N31" s="692"/>
      <c r="O31" s="692"/>
      <c r="P31" s="692"/>
      <c r="Q31" s="298"/>
      <c r="AB31" s="514">
        <v>0</v>
      </c>
    </row>
    <row customHeight="1" ht="24">
      <c r="A32" s="514"/>
      <c r="B32" s="514" t="s">
        <v>993</v>
      </c>
      <c r="C32" s="535"/>
      <c r="D32" s="701">
        <v>1</v>
      </c>
      <c r="E32" s="702" t="s">
        <v>994</v>
      </c>
      <c r="F32" s="700" t="s">
        <v>321</v>
      </c>
      <c r="G32" s="822" t="s">
        <v>321</v>
      </c>
      <c r="H32" s="822" t="s">
        <v>321</v>
      </c>
      <c r="I32" s="700" t="s">
        <v>321</v>
      </c>
      <c r="J32" s="700" t="s">
        <v>321</v>
      </c>
      <c r="K32" s="2291" t="s">
        <v>321</v>
      </c>
      <c r="L32" s="2291" t="s">
        <v>321</v>
      </c>
      <c r="M32" s="2291" t="s">
        <v>321</v>
      </c>
      <c r="N32" s="2291" t="s">
        <v>321</v>
      </c>
      <c r="O32" s="2291" t="s">
        <v>321</v>
      </c>
      <c r="P32" s="2291" t="s">
        <v>321</v>
      </c>
      <c r="Q32" s="298"/>
      <c r="AB32" s="514">
        <v>23</v>
      </c>
    </row>
    <row customHeight="1" ht="11.549999999999999">
      <c r="A33" s="514"/>
      <c r="C33" s="514"/>
      <c r="D33" s="356"/>
      <c r="E33" s="589" t="s">
        <v>607</v>
      </c>
      <c r="F33" s="581"/>
      <c r="G33" s="581"/>
      <c r="H33" s="581"/>
      <c r="I33" s="581"/>
      <c r="J33" s="581"/>
      <c r="K33" s="2694"/>
      <c r="L33" s="2695"/>
      <c r="M33" s="2696"/>
      <c r="N33" s="2697"/>
      <c r="O33" s="2698"/>
      <c r="P33" s="2699"/>
      <c r="Q33" s="582"/>
      <c r="AA33" s="514"/>
      <c r="AB33" s="514">
        <v>11</v>
      </c>
    </row>
    <row customHeight="1" ht="24">
      <c r="A34" s="514"/>
      <c r="B34" s="590" t="s">
        <v>659</v>
      </c>
      <c r="C34" s="535"/>
      <c r="D34" s="701">
        <v>2</v>
      </c>
      <c r="E34" s="702" t="s">
        <v>995</v>
      </c>
      <c r="F34" s="829" t="s">
        <v>321</v>
      </c>
      <c r="G34" s="829" t="s">
        <v>321</v>
      </c>
      <c r="H34" s="829" t="s">
        <v>321</v>
      </c>
      <c r="I34" s="700"/>
      <c r="J34" s="700"/>
      <c r="K34" s="2291" t="s">
        <v>321</v>
      </c>
      <c r="L34" s="2291" t="s">
        <v>321</v>
      </c>
      <c r="M34" s="2291" t="s">
        <v>321</v>
      </c>
      <c r="N34" s="2291" t="s">
        <v>321</v>
      </c>
      <c r="O34" s="2291" t="s">
        <v>321</v>
      </c>
      <c r="P34" s="2291" t="s">
        <v>321</v>
      </c>
      <c r="Q34" s="298"/>
      <c r="AB34" s="514">
        <v>23</v>
      </c>
    </row>
    <row customHeight="1" ht="11.549999999999999">
      <c r="A35" s="514"/>
      <c r="C35" s="514"/>
      <c r="D35" s="356"/>
      <c r="E35" s="589" t="s">
        <v>996</v>
      </c>
      <c r="F35" s="581"/>
      <c r="G35" s="703"/>
      <c r="H35" s="581"/>
      <c r="I35" s="703"/>
      <c r="J35" s="581"/>
      <c r="K35" s="2700"/>
      <c r="L35" s="2701"/>
      <c r="M35" s="2702"/>
      <c r="N35" s="2703"/>
      <c r="O35" s="2704"/>
      <c r="P35" s="2705"/>
      <c r="Q35" s="582"/>
      <c r="AA35" s="514"/>
      <c r="AB35" s="514">
        <v>11</v>
      </c>
    </row>
    <row customHeight="1" ht="71.25">
      <c r="A36" s="514"/>
      <c r="B36" s="514" t="s">
        <v>997</v>
      </c>
      <c r="C36" s="535"/>
      <c r="D36" s="701">
        <v>3</v>
      </c>
      <c r="E36" s="702" t="s">
        <v>998</v>
      </c>
      <c r="F36" s="704" t="s">
        <v>321</v>
      </c>
      <c r="G36" s="823" t="s">
        <v>999</v>
      </c>
      <c r="H36" s="822" t="s">
        <v>321</v>
      </c>
      <c r="I36" s="533" t="s">
        <v>999</v>
      </c>
      <c r="J36" s="700" t="s">
        <v>321</v>
      </c>
      <c r="K36" s="2135" t="s">
        <v>999</v>
      </c>
      <c r="L36" s="2291" t="s">
        <v>321</v>
      </c>
      <c r="M36" s="2135" t="s">
        <v>999</v>
      </c>
      <c r="N36" s="2291" t="s">
        <v>321</v>
      </c>
      <c r="O36" s="2135" t="s">
        <v>999</v>
      </c>
      <c r="P36" s="2291" t="s">
        <v>321</v>
      </c>
      <c r="Q36" s="298" t="s">
        <v>1000</v>
      </c>
      <c r="AB36" s="514">
        <v>68</v>
      </c>
    </row>
    <row customHeight="1" ht="11.549999999999999">
      <c r="A37" s="514"/>
      <c r="C37" s="514"/>
      <c r="D37" s="356"/>
      <c r="E37" s="589" t="s">
        <v>1001</v>
      </c>
      <c r="F37" s="581"/>
      <c r="G37" s="703"/>
      <c r="H37" s="703"/>
      <c r="I37" s="703"/>
      <c r="J37" s="703"/>
      <c r="K37" s="2706"/>
      <c r="L37" s="2707"/>
      <c r="M37" s="2708"/>
      <c r="N37" s="2709"/>
      <c r="O37" s="2710"/>
      <c r="P37" s="2711"/>
      <c r="Q37" s="582"/>
      <c r="AA37" s="514"/>
      <c r="AB37" s="514">
        <v>11</v>
      </c>
    </row>
    <row customHeight="1" ht="71.25">
      <c r="A38" s="514"/>
      <c r="B38" s="514" t="s">
        <v>1002</v>
      </c>
      <c r="C38" s="535"/>
      <c r="D38" s="701">
        <v>4</v>
      </c>
      <c r="E38" s="702" t="s">
        <v>1003</v>
      </c>
      <c r="F38" s="704" t="s">
        <v>321</v>
      </c>
      <c r="G38" s="823" t="s">
        <v>999</v>
      </c>
      <c r="H38" s="824" t="s">
        <v>321</v>
      </c>
      <c r="I38" s="533" t="s">
        <v>999</v>
      </c>
      <c r="J38" s="530" t="s">
        <v>321</v>
      </c>
      <c r="K38" s="2135" t="s">
        <v>999</v>
      </c>
      <c r="L38" s="2340" t="s">
        <v>321</v>
      </c>
      <c r="M38" s="2135" t="s">
        <v>999</v>
      </c>
      <c r="N38" s="2340" t="s">
        <v>321</v>
      </c>
      <c r="O38" s="2135" t="s">
        <v>999</v>
      </c>
      <c r="P38" s="2340" t="s">
        <v>321</v>
      </c>
      <c r="Q38" s="688" t="s">
        <v>1004</v>
      </c>
      <c r="AB38" s="514">
        <v>68</v>
      </c>
    </row>
    <row customHeight="1" ht="11.549999999999999">
      <c r="A39" s="514"/>
      <c r="C39" s="514"/>
      <c r="D39" s="356"/>
      <c r="E39" s="589" t="s">
        <v>1005</v>
      </c>
      <c r="F39" s="581"/>
      <c r="G39" s="581"/>
      <c r="H39" s="705"/>
      <c r="I39" s="581"/>
      <c r="J39" s="705"/>
      <c r="K39" s="2712"/>
      <c r="L39" s="2713"/>
      <c r="M39" s="2714"/>
      <c r="N39" s="2715"/>
      <c r="O39" s="2716"/>
      <c r="P39" s="2717"/>
      <c r="Q39" s="582"/>
      <c r="AA39" s="514"/>
      <c r="AB39" s="514">
        <v>11</v>
      </c>
    </row>
    <row customHeight="1" ht="22.5" hidden="1">
      <c r="A40" s="458" t="s">
        <v>83</v>
      </c>
      <c r="B40" s="514">
        <v>0</v>
      </c>
      <c r="C40" s="692">
        <v>4</v>
      </c>
      <c r="D40" s="514">
        <v>6</v>
      </c>
      <c r="E40" s="514">
        <v>36</v>
      </c>
      <c r="F40" s="514">
        <v>9</v>
      </c>
      <c r="G40" s="767">
        <v>0</v>
      </c>
      <c r="H40" s="767">
        <v>0</v>
      </c>
      <c r="I40" s="514">
        <v>25</v>
      </c>
      <c r="J40" s="514">
        <v>33</v>
      </c>
      <c r="K40" s="1644">
        <v>0</v>
      </c>
      <c r="L40" s="1644">
        <v>0</v>
      </c>
      <c r="M40" s="1644">
        <v>0</v>
      </c>
      <c r="N40" s="1644">
        <v>0</v>
      </c>
      <c r="O40" s="1644">
        <v>0</v>
      </c>
      <c r="P40" s="1644">
        <v>0</v>
      </c>
      <c r="Q40" s="426">
        <v>93</v>
      </c>
      <c r="R40" s="514">
        <v>10</v>
      </c>
      <c r="S40" s="514">
        <v>10</v>
      </c>
      <c r="T40" s="514">
        <v>10</v>
      </c>
      <c r="U40" s="514">
        <v>10</v>
      </c>
      <c r="V40" s="514">
        <v>10</v>
      </c>
      <c r="W40" s="514">
        <v>10</v>
      </c>
      <c r="X40" s="514">
        <v>10</v>
      </c>
      <c r="Y40" s="514">
        <v>10</v>
      </c>
      <c r="Z40" s="514">
        <v>10</v>
      </c>
      <c r="AA40" s="684">
        <v>10</v>
      </c>
      <c r="AB40" s="514">
        <v>23</v>
      </c>
    </row>
  </sheetData>
  <sheetProtection sheet="1" formatColumns="0" formatRows="0" autoFilter="0" sort="1" insertRows="1" insertColumns="1" deleteRows="1" deleteColumns="1"/>
  <mergeCells count="30">
    <mergeCell ref="B3:B4"/>
    <mergeCell ref="C3:C4"/>
    <mergeCell ref="B6:B7"/>
    <mergeCell ref="C6:C7"/>
    <mergeCell ref="B9:B11"/>
    <mergeCell ref="C9:C11"/>
    <mergeCell ref="B13:B14"/>
    <mergeCell ref="C13:C14"/>
    <mergeCell ref="D22:I22"/>
    <mergeCell ref="D23:I23"/>
    <mergeCell ref="I26:J26"/>
    <mergeCell ref="E26:F26"/>
    <mergeCell ref="G28:H28"/>
    <mergeCell ref="Q26:Q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H6:H7 J6:J7 L6:L7 N6:N7 P6:P7 J9:J11 L9:L11 N9:N11 P9:P11 H9:H11 J13:J14 L13:L14 N13:N14 P13:P14 H13:H14">
      <formula1>900</formula1>
    </dataValidation>
    <dataValidation allowBlank="1" showInputMessage="1" showErrorMessage="1" prompt="Для выбора выполните двойной щелчок левой клавиши мыши по ячейке." sqref="I36 G38 I38 G36 K36 K38 M36 M38 O36 O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9DF772-A108-CC83-57BA-0.F11BABBF}" mc:Ignorable="x14ac xr xr2 xr3">
  <sheetPr>
    <tabColor theme="9" tint="-0.25"/>
  </sheetPr>
  <dimension ref="A1:AE18"/>
  <sheetViews>
    <sheetView showGridLines="0" zoomScale="85" workbookViewId="0">
      <pane xSplit="7" ySplit="10" topLeftCell="H13" activePane="bottomRight" state="frozen"/>
      <selection pane="bottomLeft" activeCell="A11" sqref="A11"/>
      <selection pane="topRight" activeCell="H1" sqref="H1"/>
      <selection pane="bottomRight" activeCell="Y13" sqref="Y13:Y14"/>
    </sheetView>
  </sheetViews>
  <sheetFormatPr defaultColWidth="9.140625" customHeight="1" defaultRowHeight="10.5"/>
  <cols>
    <col min="1" max="3" style="1175" width="6.7109375" hidden="1" customWidth="1"/>
    <col min="4" max="4" style="1375" width="6.7109375" hidden="1" customWidth="1"/>
    <col min="5" max="5" style="1644" width="3.00390625" customWidth="1"/>
    <col min="6" max="6" style="1644" width="6.00390625" customWidth="1"/>
    <col min="7" max="7" style="1644" width="37.00390625" customWidth="1"/>
    <col min="8" max="8" style="1644" width="16.00390625" customWidth="1"/>
    <col min="9" max="10" style="1644" width="19.00390625" customWidth="1"/>
    <col min="11" max="11" style="1644" width="24.00390625" customWidth="1"/>
    <col min="12" max="13" style="1644" width="25.00390625" customWidth="1"/>
    <col min="14" max="16" style="1644" width="17.00390625" customWidth="1"/>
    <col min="17" max="24" style="1644" width="19.00390625" customWidth="1"/>
    <col min="25" max="25" style="1644" width="7.00390625" customWidth="1"/>
    <col min="26" max="26" style="1644" width="3.00390625" customWidth="1"/>
    <col min="27" max="27" style="1644" width="6.00390625" customWidth="1"/>
    <col min="28" max="28" style="1644" width="34.00390625" customWidth="1"/>
    <col min="29" max="30" style="1644" width="8.00390625" customWidth="1"/>
    <col min="31" max="31" style="1644" width="9.140625" hidden="1"/>
  </cols>
  <sheetData>
    <row s="1375" customFormat="1" customHeight="1" ht="10.5" hidden="1">
      <c r="A1" s="904"/>
      <c r="B1" s="904"/>
      <c r="C1" s="904"/>
      <c r="E1" s="546"/>
      <c r="H1" s="1169"/>
      <c r="AE1" s="426" t="s">
        <v>14</v>
      </c>
    </row>
    <row customHeight="1" ht="10.5" hidden="1">
      <c r="AE2" s="767">
        <v>0</v>
      </c>
    </row>
    <row s="1641" customFormat="1" customHeight="1" ht="10.5" hidden="1">
      <c r="A3" s="904"/>
      <c r="B3" s="904"/>
      <c r="C3" s="904"/>
      <c r="D3" s="426"/>
      <c r="E3" s="371"/>
      <c r="G3" s="1641" t="s">
        <v>1006</v>
      </c>
      <c r="H3" s="1165"/>
      <c r="AE3" s="768">
        <v>0</v>
      </c>
    </row>
    <row customHeight="1" ht="3">
      <c r="AE4" s="767">
        <v>3</v>
      </c>
    </row>
    <row customHeight="1" ht="27.299999999999997">
      <c r="F5" s="22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6"/>
      <c r="H5" s="2276"/>
      <c r="I5" s="2276"/>
      <c r="J5" s="2276"/>
      <c r="K5" s="2276"/>
      <c r="M5" s="591"/>
      <c r="AB5" s="915"/>
      <c r="AE5" s="767">
        <v>26</v>
      </c>
    </row>
    <row s="1644" customFormat="1" customHeight="1" ht="16.8">
      <c r="A6" s="1175"/>
      <c r="B6" s="1175"/>
      <c r="C6" s="1175"/>
      <c r="D6" s="1169"/>
      <c r="E6" s="1644"/>
      <c r="F6" s="2277" t="str">
        <f>IF(org=0,"Не определено",org)</f>
        <v>АО "ДГК"</v>
      </c>
      <c r="G6" s="2277"/>
      <c r="H6" s="2277"/>
      <c r="I6" s="2277"/>
      <c r="J6" s="2277"/>
      <c r="K6" s="2277"/>
      <c r="M6" s="591"/>
      <c r="AB6" s="1157"/>
      <c r="AE6" s="1640">
        <v>16</v>
      </c>
    </row>
    <row customHeight="1" ht="10.5">
      <c r="AE7" s="767">
        <v>10</v>
      </c>
    </row>
    <row customHeight="1" ht="10.5">
      <c r="A8" s="1060"/>
      <c r="B8" s="1060"/>
      <c r="C8" s="1060"/>
      <c r="F8" s="2129" t="s">
        <v>315</v>
      </c>
      <c r="G8" s="2130"/>
      <c r="H8" s="2130"/>
      <c r="I8" s="2130"/>
      <c r="J8" s="2130"/>
      <c r="K8" s="2130"/>
      <c r="L8" s="2130"/>
      <c r="M8" s="2130"/>
      <c r="N8" s="2130"/>
      <c r="O8" s="2130"/>
      <c r="P8" s="2130"/>
      <c r="Q8" s="2130"/>
      <c r="R8" s="2130"/>
      <c r="S8" s="2130"/>
      <c r="T8" s="2130"/>
      <c r="U8" s="2130"/>
      <c r="V8" s="2130"/>
      <c r="W8" s="2130"/>
      <c r="X8" s="2130"/>
      <c r="Y8" s="2130"/>
      <c r="Z8" s="2130"/>
      <c r="AA8" s="2130"/>
      <c r="AB8" s="2131"/>
      <c r="AE8" s="767">
        <v>10</v>
      </c>
    </row>
    <row customHeight="1" ht="43.050000000000004">
      <c r="A9" s="914"/>
      <c r="B9" s="914"/>
      <c r="C9" s="914"/>
      <c r="F9" s="2155" t="s">
        <v>89</v>
      </c>
      <c r="G9" s="2155" t="s">
        <v>1006</v>
      </c>
      <c r="H9" s="2203" t="s">
        <v>1007</v>
      </c>
      <c r="I9" s="2155" t="s">
        <v>1008</v>
      </c>
      <c r="J9" s="2155" t="s">
        <v>1009</v>
      </c>
      <c r="K9" s="2155" t="s">
        <v>1010</v>
      </c>
      <c r="L9" s="2155" t="s">
        <v>1011</v>
      </c>
      <c r="M9" s="2155" t="s">
        <v>1012</v>
      </c>
      <c r="N9" s="2237" t="s">
        <v>1013</v>
      </c>
      <c r="O9" s="2237"/>
      <c r="P9" s="2237"/>
      <c r="Q9" s="2427" t="s">
        <v>1014</v>
      </c>
      <c r="R9" s="2428"/>
      <c r="S9" s="2428"/>
      <c r="T9" s="2429"/>
      <c r="U9" s="2427" t="s">
        <v>1015</v>
      </c>
      <c r="V9" s="2428"/>
      <c r="W9" s="2428"/>
      <c r="X9" s="2429"/>
      <c r="Y9" s="2129" t="s">
        <v>1016</v>
      </c>
      <c r="Z9" s="2130"/>
      <c r="AA9" s="2130"/>
      <c r="AB9" s="2131"/>
      <c r="AE9" s="767">
        <v>41</v>
      </c>
    </row>
    <row customHeight="1" ht="43.050000000000004">
      <c r="A10" s="914"/>
      <c r="B10" s="914"/>
      <c r="C10" s="914"/>
      <c r="F10" s="2203"/>
      <c r="G10" s="2203"/>
      <c r="H10" s="2260"/>
      <c r="I10" s="2203"/>
      <c r="J10" s="2203"/>
      <c r="K10" s="2203"/>
      <c r="L10" s="2203"/>
      <c r="M10" s="2203"/>
      <c r="N10" s="912" t="s">
        <v>1017</v>
      </c>
      <c r="O10" s="912" t="s">
        <v>1018</v>
      </c>
      <c r="P10" s="913" t="s">
        <v>1019</v>
      </c>
      <c r="Q10" s="924" t="s">
        <v>90</v>
      </c>
      <c r="R10" s="924" t="s">
        <v>1020</v>
      </c>
      <c r="S10" s="924" t="s">
        <v>1021</v>
      </c>
      <c r="T10" s="925" t="s">
        <v>1022</v>
      </c>
      <c r="U10" s="924" t="s">
        <v>90</v>
      </c>
      <c r="V10" s="924" t="s">
        <v>1023</v>
      </c>
      <c r="W10" s="924" t="s">
        <v>1021</v>
      </c>
      <c r="X10" s="925" t="s">
        <v>1022</v>
      </c>
      <c r="Y10" s="310" t="s">
        <v>1024</v>
      </c>
      <c r="Z10" s="2129" t="s">
        <v>89</v>
      </c>
      <c r="AA10" s="2131"/>
      <c r="AB10" s="1058" t="s">
        <v>1025</v>
      </c>
      <c r="AE10" s="767">
        <v>41</v>
      </c>
    </row>
    <row s="1651" customFormat="1" customHeight="1" ht="5.25" hidden="1">
      <c r="A11" s="1061"/>
      <c r="B11" s="1061"/>
      <c r="C11" s="1061"/>
      <c r="E11" s="1059"/>
      <c r="F11" s="2434" t="s">
        <v>391</v>
      </c>
      <c r="G11" s="2431"/>
      <c r="H11" s="2430"/>
      <c r="I11" s="2430"/>
      <c r="J11" s="2430"/>
      <c r="K11" s="2432"/>
      <c r="L11" s="2432"/>
      <c r="M11" s="2432"/>
      <c r="N11" s="2430"/>
      <c r="O11" s="2430"/>
      <c r="P11" s="2155"/>
      <c r="Q11" s="2207"/>
      <c r="R11" s="2207"/>
      <c r="S11" s="2207"/>
      <c r="T11" s="2430"/>
      <c r="U11" s="2207"/>
      <c r="V11" s="2207"/>
      <c r="W11" s="2207"/>
      <c r="X11" s="2430"/>
      <c r="Y11" s="2136"/>
      <c r="Z11" s="2136"/>
      <c r="AA11" s="2136"/>
      <c r="AB11" s="2136"/>
      <c r="AD11" s="520" t="s">
        <v>1026</v>
      </c>
      <c r="AE11" s="520">
        <v>0</v>
      </c>
    </row>
    <row s="1651" customFormat="1" customHeight="1" ht="5.25" hidden="1">
      <c r="A12" s="905"/>
      <c r="B12" s="905"/>
      <c r="C12" s="905"/>
      <c r="E12" s="527"/>
      <c r="F12" s="2434"/>
      <c r="G12" s="2431"/>
      <c r="H12" s="2430"/>
      <c r="I12" s="2430"/>
      <c r="J12" s="2430"/>
      <c r="K12" s="2432"/>
      <c r="L12" s="2432"/>
      <c r="M12" s="2432"/>
      <c r="N12" s="2430"/>
      <c r="O12" s="2430"/>
      <c r="P12" s="2155"/>
      <c r="Q12" s="2207"/>
      <c r="R12" s="2207"/>
      <c r="S12" s="2207"/>
      <c r="T12" s="2430"/>
      <c r="U12" s="2207"/>
      <c r="V12" s="2207"/>
      <c r="W12" s="2207"/>
      <c r="X12" s="2430"/>
      <c r="Y12" s="2433"/>
      <c r="Z12" s="2433"/>
      <c r="AA12" s="2433"/>
      <c r="AB12" s="2433"/>
      <c r="AE12" s="520">
        <v>0</v>
      </c>
    </row>
    <row customHeight="1" ht="63">
      <c r="A13" s="1175"/>
      <c r="B13" s="1175"/>
      <c r="C13" s="1175"/>
      <c r="D13" s="1169"/>
      <c r="E13" s="692" t="s">
        <v>104</v>
      </c>
      <c r="F13" s="2609" t="s">
        <v>118</v>
      </c>
      <c r="G13" s="2610" t="s">
        <v>1027</v>
      </c>
      <c r="H13" s="2611" t="s">
        <v>63</v>
      </c>
      <c r="I13" s="2613">
        <v>45898</v>
      </c>
      <c r="J13" s="2576"/>
      <c r="K13" s="2615" t="s">
        <v>1028</v>
      </c>
      <c r="L13" s="2578" t="s">
        <v>1029</v>
      </c>
      <c r="M13" s="2578" t="s">
        <v>1030</v>
      </c>
      <c r="N13" s="2579" t="s">
        <v>1031</v>
      </c>
      <c r="O13" s="2579" t="s">
        <v>1032</v>
      </c>
      <c r="P13" s="2580" t="str">
        <f>DATEDIF(DATEVALUE(N13),DATEVALUE(O13),"y")&amp;"г. "&amp;DATEDIF(DATEVALUE(N13),DATEVALUE(O13),"ym")&amp;"мес. "&amp;DATEVALUE(O13)-DATE(YEAR(DATEVALUE(O13)),MONTH(DATEVALUE(O13)),1)&amp;"дн. "</f>
        <v>5г. 4мес. 30дн. </v>
      </c>
      <c r="Q13" s="2575" t="s">
        <v>1033</v>
      </c>
      <c r="R13" s="2575" t="s">
        <v>1034</v>
      </c>
      <c r="S13" s="2575" t="s">
        <v>1035</v>
      </c>
      <c r="T13" s="2576" t="s">
        <v>1031</v>
      </c>
      <c r="U13" s="2575"/>
      <c r="V13" s="2575"/>
      <c r="W13" s="2575"/>
      <c r="X13" s="2576"/>
      <c r="Y13" s="2573" t="s">
        <v>19</v>
      </c>
      <c r="Z13" s="1816"/>
      <c r="AA13" s="1800">
        <v>1</v>
      </c>
      <c r="AB13" s="2722" t="s">
        <v>22</v>
      </c>
      <c r="AC13" s="1644"/>
      <c r="AD13" s="1645" t="s">
        <v>1036</v>
      </c>
      <c r="AE13" s="1644"/>
    </row>
    <row customHeight="1" ht="61.5">
      <c r="A14" s="1175"/>
      <c r="B14" s="1175"/>
      <c r="C14" s="1175"/>
      <c r="D14" s="1169"/>
      <c r="E14" s="956"/>
      <c r="F14" s="2609" t="s">
        <v>391</v>
      </c>
      <c r="G14" s="2610"/>
      <c r="H14" s="2612"/>
      <c r="I14" s="2614"/>
      <c r="J14" s="2577"/>
      <c r="K14" s="2615"/>
      <c r="L14" s="2578"/>
      <c r="M14" s="2578"/>
      <c r="N14" s="2579"/>
      <c r="O14" s="2579"/>
      <c r="P14" s="2580"/>
      <c r="Q14" s="2575"/>
      <c r="R14" s="2575"/>
      <c r="S14" s="2575"/>
      <c r="T14" s="2577"/>
      <c r="U14" s="2575"/>
      <c r="V14" s="2575"/>
      <c r="W14" s="2575"/>
      <c r="X14" s="2577"/>
      <c r="Y14" s="2574"/>
      <c r="Z14" s="356"/>
      <c r="AA14" s="581"/>
      <c r="AB14" s="661" t="s">
        <v>1037</v>
      </c>
      <c r="AC14" s="1644"/>
      <c r="AD14" s="1644"/>
      <c r="AE14" s="1644"/>
    </row>
    <row customHeight="1" ht="10.5">
      <c r="F15" s="911"/>
      <c r="G15" s="659" t="s">
        <v>1038</v>
      </c>
      <c r="H15" s="1177"/>
      <c r="I15" s="581"/>
      <c r="J15" s="581"/>
      <c r="K15" s="581"/>
      <c r="L15" s="581"/>
      <c r="M15" s="581"/>
      <c r="N15" s="581"/>
      <c r="O15" s="581"/>
      <c r="P15" s="581"/>
      <c r="Q15" s="581"/>
      <c r="R15" s="581"/>
      <c r="S15" s="581"/>
      <c r="T15" s="581"/>
      <c r="U15" s="581"/>
      <c r="V15" s="581"/>
      <c r="W15" s="581"/>
      <c r="X15" s="581"/>
      <c r="Y15" s="581"/>
      <c r="Z15" s="705"/>
      <c r="AA15" s="705"/>
      <c r="AB15" s="926"/>
      <c r="AE15" s="767">
        <v>10</v>
      </c>
    </row>
    <row customHeight="1" ht="10.5">
      <c r="AE16" s="767">
        <v>10</v>
      </c>
    </row>
    <row s="1651" customFormat="1" customHeight="1" ht="10.5">
      <c r="A17" s="1176"/>
      <c r="B17" s="1176"/>
      <c r="C17" s="1176"/>
      <c r="E17" s="527"/>
      <c r="H17" s="520">
        <f>_xlfn.IFERROR(MATCH("нет",IP_MAIN_DIFFERENTIATION_EVENTS_FLAG,0),0)</f>
        <v>0</v>
      </c>
      <c r="AE17" s="520">
        <v>10</v>
      </c>
    </row>
    <row customHeight="1" ht="10.5" hidden="1">
      <c r="A18" s="904" t="s">
        <v>83</v>
      </c>
      <c r="B18" s="904">
        <v>0</v>
      </c>
      <c r="C18" s="904">
        <v>0</v>
      </c>
      <c r="D18" s="426">
        <v>0</v>
      </c>
      <c r="E18" s="518">
        <v>3</v>
      </c>
      <c r="F18" s="767">
        <v>6</v>
      </c>
      <c r="G18" s="767">
        <v>37</v>
      </c>
      <c r="H18" s="1164">
        <v>16</v>
      </c>
      <c r="I18" s="767">
        <v>19</v>
      </c>
      <c r="J18" s="767">
        <v>19</v>
      </c>
      <c r="K18" s="767">
        <v>24</v>
      </c>
      <c r="L18" s="767">
        <v>25</v>
      </c>
      <c r="M18" s="767">
        <v>25</v>
      </c>
      <c r="N18" s="767">
        <v>17</v>
      </c>
      <c r="O18" s="767">
        <v>17</v>
      </c>
      <c r="P18" s="767">
        <v>17</v>
      </c>
      <c r="Q18" s="767">
        <v>19</v>
      </c>
      <c r="R18" s="767">
        <v>19</v>
      </c>
      <c r="S18" s="767">
        <v>19</v>
      </c>
      <c r="T18" s="767">
        <v>19</v>
      </c>
      <c r="U18" s="767">
        <v>19</v>
      </c>
      <c r="V18" s="767">
        <v>19</v>
      </c>
      <c r="W18" s="767">
        <v>19</v>
      </c>
      <c r="X18" s="767">
        <v>19</v>
      </c>
      <c r="Y18" s="767">
        <v>7</v>
      </c>
      <c r="Z18" s="767">
        <v>3</v>
      </c>
      <c r="AA18" s="767">
        <v>6</v>
      </c>
      <c r="AB18" s="767">
        <v>34</v>
      </c>
      <c r="AC18" s="767">
        <v>8</v>
      </c>
      <c r="AD18" s="767">
        <v>8</v>
      </c>
      <c r="AE18" s="767">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FCAE8F-ED3D-8E25-2952-0.621FD9B1}" mc:Ignorable="x14ac xr xr2 xr3">
  <sheetPr>
    <tabColor theme="9" tint="-0.25"/>
  </sheetPr>
  <dimension ref="A1:BG641"/>
  <sheetViews>
    <sheetView showGridLines="0" workbookViewId="0">
      <pane xSplit="8" ySplit="12" topLeftCell="V496" activePane="bottomRight" state="frozen"/>
      <selection pane="bottomLeft" activeCell="A13" sqref="A13"/>
      <selection pane="topRight" activeCell="I1" sqref="I1"/>
      <selection pane="bottomRight" activeCell="AB235" sqref="AB235"/>
    </sheetView>
  </sheetViews>
  <sheetFormatPr defaultColWidth="9.140625" customHeight="1" defaultRowHeight="10.5"/>
  <cols>
    <col min="1" max="3" style="1175" width="4.140625" hidden="1" customWidth="1"/>
    <col min="4" max="4" style="1375" width="4.140625" hidden="1" customWidth="1"/>
    <col min="5" max="5" style="1644" width="3.00390625" customWidth="1"/>
    <col min="6" max="6" style="1644" width="14.00390625" customWidth="1"/>
    <col min="7" max="7" style="1644" width="3.00390625" customWidth="1"/>
    <col min="8" max="8" style="1644" width="7.00390625" customWidth="1"/>
    <col min="9" max="9" style="1644" width="28.28125" customWidth="1"/>
    <col min="10" max="10" style="1644" width="20.7109375" customWidth="1"/>
    <col min="11" max="11" style="1644" width="62.57421875" customWidth="1"/>
    <col min="12" max="12" style="1644" width="7.00390625" customWidth="1"/>
    <col min="13" max="13" style="1644" width="15.00390625" customWidth="1"/>
    <col min="14" max="14" style="1644" width="3.00390625" customWidth="1"/>
    <col min="15" max="15" style="1644" width="4.00390625" customWidth="1"/>
    <col min="16" max="16" style="1644" width="8.00390625" customWidth="1"/>
    <col min="17" max="17" style="1644" width="21.00390625" customWidth="1"/>
    <col min="18" max="18" style="1644" width="14.00390625" customWidth="1"/>
    <col min="19" max="20" style="1644" width="17.00390625" customWidth="1"/>
    <col min="21" max="21" style="1644" width="9.00390625" customWidth="1"/>
    <col min="22" max="22" style="1644" width="12.00390625" customWidth="1"/>
    <col min="23" max="23" style="1644" width="9.00390625" customWidth="1"/>
    <col min="24" max="24" style="1644" width="21.00390625" customWidth="1"/>
    <col min="25" max="25" style="1644" width="12.00390625" customWidth="1"/>
    <col min="26" max="26" style="1644" width="3.00390625" customWidth="1"/>
    <col min="27" max="27" style="1644" width="6.00390625" customWidth="1"/>
    <col min="28" max="28" style="1644" width="38.00390625" customWidth="1"/>
    <col min="29" max="29" style="1644" width="15.00390625" customWidth="1"/>
    <col min="30" max="30" style="1644" width="37.57421875" customWidth="1"/>
    <col min="31" max="31" style="1644" width="15.7109375" customWidth="1"/>
    <col min="32" max="34" style="1644" width="16.00390625" customWidth="1"/>
    <col min="35" max="35" style="1644" width="6.8515625" customWidth="1"/>
    <col min="36" max="37" style="1644" width="10.57421875" customWidth="1"/>
    <col min="38" max="58" style="1644" width="8.00390625" customWidth="1"/>
    <col min="59" max="59" style="1644" width="9.140625" hidden="1"/>
  </cols>
  <sheetData>
    <row s="1375" customFormat="1" customHeight="1" ht="10.5" hidden="1">
      <c r="A1" s="904"/>
      <c r="B1" s="904"/>
      <c r="C1" s="904"/>
      <c r="E1" s="546"/>
      <c r="H1" s="1169"/>
      <c r="L1" s="1137"/>
      <c r="M1" s="1137"/>
      <c r="AD1" s="1137"/>
      <c r="AH1" s="1156"/>
      <c r="AI1" s="1149"/>
      <c r="BG1" s="426" t="s">
        <v>14</v>
      </c>
    </row>
    <row customHeight="1" ht="10.5" hidden="1">
      <c r="BG2" s="767">
        <v>0</v>
      </c>
    </row>
    <row s="1641" customFormat="1" customHeight="1" ht="10.5" hidden="1">
      <c r="A3" s="904"/>
      <c r="B3" s="904"/>
      <c r="C3" s="904"/>
      <c r="D3" s="426"/>
      <c r="E3" s="371"/>
      <c r="H3" s="1165"/>
      <c r="L3" s="1135"/>
      <c r="M3" s="1135"/>
      <c r="AD3" s="1135"/>
      <c r="AH3" s="1154"/>
      <c r="AI3" s="1147"/>
      <c r="BG3" s="768">
        <v>0</v>
      </c>
    </row>
    <row customHeight="1" ht="3">
      <c r="BG4" s="767">
        <v>3</v>
      </c>
    </row>
    <row customHeight="1" ht="27.299999999999997">
      <c r="F5" s="227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76"/>
      <c r="H5" s="2276"/>
      <c r="I5" s="2276"/>
      <c r="J5" s="2276"/>
      <c r="K5" s="2276"/>
      <c r="L5" s="1144"/>
      <c r="M5" s="1144"/>
      <c r="AG5" s="915"/>
      <c r="AH5" s="1157"/>
      <c r="BG5" s="767">
        <v>26</v>
      </c>
    </row>
    <row customHeight="1" ht="10.5">
      <c r="F6" s="2204" t="str">
        <f>IF(org=0,"Не определено",org)</f>
        <v>АО "ДГК"</v>
      </c>
      <c r="G6" s="2204"/>
      <c r="H6" s="2204"/>
      <c r="I6" s="2204"/>
      <c r="J6" s="2204"/>
      <c r="K6" s="2204"/>
      <c r="L6" s="1145"/>
      <c r="M6" s="1145"/>
      <c r="BG6" s="767">
        <v>10</v>
      </c>
    </row>
    <row customHeight="1" ht="11.549999999999999">
      <c r="E7" s="917"/>
      <c r="F7" s="928"/>
      <c r="G7" s="928"/>
      <c r="H7" s="1193"/>
      <c r="I7" s="928"/>
      <c r="J7" s="928"/>
      <c r="K7" s="930"/>
      <c r="L7" s="1142"/>
      <c r="M7" s="1142"/>
      <c r="N7" s="928"/>
      <c r="O7" s="928"/>
      <c r="P7" s="928"/>
      <c r="Q7" s="930"/>
      <c r="R7" s="928"/>
      <c r="S7" s="928"/>
      <c r="T7" s="928"/>
      <c r="U7" s="928"/>
      <c r="V7" s="928"/>
      <c r="W7" s="928"/>
      <c r="X7" s="928"/>
      <c r="Y7" s="928"/>
      <c r="Z7" s="928"/>
      <c r="AA7" s="928"/>
      <c r="AB7" s="928"/>
      <c r="AC7" s="929"/>
      <c r="AD7" s="1141"/>
      <c r="AE7" s="929"/>
      <c r="AF7" s="928"/>
      <c r="AG7" s="928"/>
      <c r="AH7" s="1159"/>
      <c r="AI7" s="1152"/>
      <c r="AJ7" s="928"/>
      <c r="AK7" s="928"/>
      <c r="AL7" s="919"/>
      <c r="AM7" s="919"/>
      <c r="AN7" s="919"/>
      <c r="AO7" s="916"/>
      <c r="AP7" s="916"/>
      <c r="AQ7" s="916"/>
      <c r="AR7" s="916"/>
      <c r="AS7" s="916"/>
      <c r="AT7" s="916"/>
      <c r="AU7" s="916"/>
      <c r="AV7" s="916"/>
      <c r="AW7" s="916"/>
      <c r="AX7" s="916"/>
      <c r="AY7" s="916"/>
      <c r="AZ7" s="916"/>
      <c r="BA7" s="916"/>
      <c r="BB7" s="916"/>
      <c r="BC7" s="916"/>
      <c r="BD7" s="916"/>
      <c r="BE7" s="916"/>
      <c r="BF7" s="916"/>
      <c r="BG7" s="767">
        <v>11</v>
      </c>
    </row>
    <row customHeight="1" ht="10.5">
      <c r="E8" s="917"/>
      <c r="F8" s="2443" t="s">
        <v>315</v>
      </c>
      <c r="G8" s="2444"/>
      <c r="H8" s="2444"/>
      <c r="I8" s="2444"/>
      <c r="J8" s="2444"/>
      <c r="K8" s="2444"/>
      <c r="L8" s="2444"/>
      <c r="M8" s="2444"/>
      <c r="N8" s="2444"/>
      <c r="O8" s="2444"/>
      <c r="P8" s="2444"/>
      <c r="Q8" s="2444"/>
      <c r="R8" s="2444"/>
      <c r="S8" s="2444"/>
      <c r="T8" s="2444"/>
      <c r="U8" s="2444"/>
      <c r="V8" s="2444"/>
      <c r="W8" s="2444"/>
      <c r="X8" s="2444"/>
      <c r="Y8" s="2444"/>
      <c r="Z8" s="2444"/>
      <c r="AA8" s="2444"/>
      <c r="AB8" s="2444"/>
      <c r="AC8" s="2444"/>
      <c r="AD8" s="2444"/>
      <c r="AE8" s="2444"/>
      <c r="AF8" s="2444"/>
      <c r="AG8" s="2444"/>
      <c r="AH8" s="2444"/>
      <c r="AI8" s="2444"/>
      <c r="AJ8" s="2444"/>
      <c r="AK8" s="2445"/>
      <c r="AL8" s="918"/>
      <c r="AM8" s="916"/>
      <c r="AN8" s="916"/>
      <c r="AO8" s="916"/>
      <c r="AP8" s="916"/>
      <c r="AQ8" s="916"/>
      <c r="AR8" s="916"/>
      <c r="AS8" s="916"/>
      <c r="AT8" s="916"/>
      <c r="AU8" s="916"/>
      <c r="AV8" s="916"/>
      <c r="AW8" s="916"/>
      <c r="AX8" s="916"/>
      <c r="AY8" s="916"/>
      <c r="AZ8" s="916"/>
      <c r="BA8" s="916"/>
      <c r="BB8" s="916"/>
      <c r="BC8" s="916"/>
      <c r="BD8" s="916"/>
      <c r="BE8" s="916"/>
      <c r="BF8" s="916"/>
      <c r="BG8" s="767">
        <v>10</v>
      </c>
    </row>
    <row customHeight="1" ht="24">
      <c r="A9" s="914"/>
      <c r="B9" s="914"/>
      <c r="C9" s="914"/>
      <c r="E9" s="917"/>
      <c r="F9" s="2436" t="s">
        <v>1039</v>
      </c>
      <c r="G9" s="2437" t="s">
        <v>1040</v>
      </c>
      <c r="H9" s="2438"/>
      <c r="I9" s="2155" t="s">
        <v>1041</v>
      </c>
      <c r="J9" s="2155"/>
      <c r="K9" s="2155" t="s">
        <v>1042</v>
      </c>
      <c r="L9" s="2155"/>
      <c r="M9" s="2155"/>
      <c r="N9" s="2155"/>
      <c r="O9" s="2155"/>
      <c r="P9" s="2155"/>
      <c r="Q9" s="2155"/>
      <c r="R9" s="2155"/>
      <c r="S9" s="2155"/>
      <c r="T9" s="2155"/>
      <c r="U9" s="2155"/>
      <c r="V9" s="2155"/>
      <c r="W9" s="2155"/>
      <c r="X9" s="2155"/>
      <c r="Y9" s="2155"/>
      <c r="Z9" s="2220" t="s">
        <v>1043</v>
      </c>
      <c r="AA9" s="2221"/>
      <c r="AB9" s="2155" t="s">
        <v>1044</v>
      </c>
      <c r="AC9" s="2155"/>
      <c r="AD9" s="2155"/>
      <c r="AE9" s="2155"/>
      <c r="AF9" s="2203" t="s">
        <v>1045</v>
      </c>
      <c r="AG9" s="2155" t="s">
        <v>1046</v>
      </c>
      <c r="AH9" s="2155"/>
      <c r="AI9" s="2203" t="s">
        <v>1047</v>
      </c>
      <c r="AJ9" s="2155" t="s">
        <v>1048</v>
      </c>
      <c r="AK9" s="2155"/>
      <c r="AL9" s="1151"/>
      <c r="AM9" s="916"/>
      <c r="AN9" s="916"/>
      <c r="AO9" s="916"/>
      <c r="AP9" s="916"/>
      <c r="AQ9" s="916"/>
      <c r="AR9" s="916"/>
      <c r="AS9" s="916"/>
      <c r="AT9" s="916"/>
      <c r="AU9" s="916"/>
      <c r="AV9" s="916"/>
      <c r="AW9" s="916"/>
      <c r="AX9" s="916"/>
      <c r="AY9" s="916"/>
      <c r="AZ9" s="916"/>
      <c r="BA9" s="916"/>
      <c r="BB9" s="916"/>
      <c r="BC9" s="916"/>
      <c r="BD9" s="916"/>
      <c r="BE9" s="916"/>
      <c r="BF9" s="916"/>
      <c r="BG9" s="767">
        <v>23</v>
      </c>
    </row>
    <row customHeight="1" ht="25.2">
      <c r="A10" s="914"/>
      <c r="B10" s="914"/>
      <c r="C10" s="914"/>
      <c r="E10" s="921"/>
      <c r="F10" s="2436"/>
      <c r="G10" s="2439"/>
      <c r="H10" s="2440"/>
      <c r="I10" s="2155"/>
      <c r="J10" s="2155"/>
      <c r="K10" s="2155" t="s">
        <v>1049</v>
      </c>
      <c r="L10" s="2129" t="s">
        <v>1050</v>
      </c>
      <c r="M10" s="2131"/>
      <c r="N10" s="2155" t="s">
        <v>1051</v>
      </c>
      <c r="O10" s="2155"/>
      <c r="P10" s="2155"/>
      <c r="Q10" s="2155"/>
      <c r="R10" s="2155"/>
      <c r="S10" s="2155"/>
      <c r="T10" s="2155"/>
      <c r="U10" s="2155"/>
      <c r="V10" s="2155"/>
      <c r="W10" s="2155"/>
      <c r="X10" s="2155"/>
      <c r="Y10" s="2155"/>
      <c r="Z10" s="2222"/>
      <c r="AA10" s="2223"/>
      <c r="AB10" s="2155"/>
      <c r="AC10" s="2155"/>
      <c r="AD10" s="2155"/>
      <c r="AE10" s="2155"/>
      <c r="AF10" s="2227"/>
      <c r="AG10" s="2155"/>
      <c r="AH10" s="2155"/>
      <c r="AI10" s="2227"/>
      <c r="AJ10" s="2155"/>
      <c r="AK10" s="2155"/>
      <c r="AL10" s="1151"/>
      <c r="AM10" s="922"/>
      <c r="AN10" s="922"/>
      <c r="AO10" s="922"/>
      <c r="AP10" s="922"/>
      <c r="AQ10" s="922"/>
      <c r="AR10" s="922"/>
      <c r="AS10" s="922"/>
      <c r="AT10" s="922"/>
      <c r="AU10" s="922"/>
      <c r="AV10" s="922"/>
      <c r="AW10" s="922"/>
      <c r="AX10" s="922"/>
      <c r="AY10" s="922"/>
      <c r="AZ10" s="922"/>
      <c r="BA10" s="922"/>
      <c r="BB10" s="922"/>
      <c r="BC10" s="922"/>
      <c r="BD10" s="922"/>
      <c r="BE10" s="922"/>
      <c r="BF10" s="922"/>
      <c r="BG10" s="767">
        <v>24</v>
      </c>
    </row>
    <row s="1644" customFormat="1" customHeight="1" ht="25.2">
      <c r="A11" s="1138"/>
      <c r="B11" s="1138"/>
      <c r="C11" s="1138"/>
      <c r="D11" s="1137"/>
      <c r="E11" s="1139"/>
      <c r="F11" s="2436"/>
      <c r="G11" s="2439"/>
      <c r="H11" s="2440"/>
      <c r="I11" s="2155"/>
      <c r="J11" s="2155"/>
      <c r="K11" s="2155"/>
      <c r="L11" s="2203" t="s">
        <v>1052</v>
      </c>
      <c r="M11" s="2203" t="s">
        <v>1053</v>
      </c>
      <c r="N11" s="2155" t="s">
        <v>1054</v>
      </c>
      <c r="O11" s="2155"/>
      <c r="P11" s="2446" t="s">
        <v>1024</v>
      </c>
      <c r="Q11" s="2446" t="s">
        <v>1055</v>
      </c>
      <c r="R11" s="2446" t="s">
        <v>1056</v>
      </c>
      <c r="S11" s="2446" t="s">
        <v>1057</v>
      </c>
      <c r="T11" s="2446"/>
      <c r="U11" s="2446"/>
      <c r="V11" s="2446"/>
      <c r="W11" s="2446"/>
      <c r="X11" s="2446"/>
      <c r="Y11" s="2446"/>
      <c r="Z11" s="2222"/>
      <c r="AA11" s="2223"/>
      <c r="AB11" s="2155" t="s">
        <v>1058</v>
      </c>
      <c r="AC11" s="2155"/>
      <c r="AD11" s="2129" t="s">
        <v>1059</v>
      </c>
      <c r="AE11" s="2131"/>
      <c r="AF11" s="2227"/>
      <c r="AG11" s="2155"/>
      <c r="AH11" s="2155"/>
      <c r="AI11" s="2227"/>
      <c r="AJ11" s="2155"/>
      <c r="AK11" s="2155"/>
      <c r="AL11" s="1151"/>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4">
        <v>24</v>
      </c>
    </row>
    <row customHeight="1" ht="35.699999999999996">
      <c r="A12" s="914"/>
      <c r="B12" s="914"/>
      <c r="C12" s="914"/>
      <c r="E12" s="917"/>
      <c r="F12" s="2436"/>
      <c r="G12" s="2441"/>
      <c r="H12" s="2442"/>
      <c r="I12" s="1162" t="s">
        <v>90</v>
      </c>
      <c r="J12" s="1162" t="s">
        <v>1060</v>
      </c>
      <c r="K12" s="2155"/>
      <c r="L12" s="2260"/>
      <c r="M12" s="2260"/>
      <c r="N12" s="2155"/>
      <c r="O12" s="2155"/>
      <c r="P12" s="2446"/>
      <c r="Q12" s="2446"/>
      <c r="R12" s="2446"/>
      <c r="S12" s="1143" t="s">
        <v>87</v>
      </c>
      <c r="T12" s="1143" t="s">
        <v>88</v>
      </c>
      <c r="U12" s="1143" t="s">
        <v>86</v>
      </c>
      <c r="V12" s="1143" t="s">
        <v>1061</v>
      </c>
      <c r="W12" s="1143" t="s">
        <v>86</v>
      </c>
      <c r="X12" s="1143" t="s">
        <v>1062</v>
      </c>
      <c r="Y12" s="1143" t="s">
        <v>1063</v>
      </c>
      <c r="Z12" s="2228"/>
      <c r="AA12" s="2229"/>
      <c r="AB12" s="1150" t="s">
        <v>1064</v>
      </c>
      <c r="AC12" s="1150" t="s">
        <v>1065</v>
      </c>
      <c r="AD12" s="1150" t="s">
        <v>1064</v>
      </c>
      <c r="AE12" s="1150" t="s">
        <v>1065</v>
      </c>
      <c r="AF12" s="2260"/>
      <c r="AG12" s="1163" t="s">
        <v>1066</v>
      </c>
      <c r="AH12" s="1163" t="s">
        <v>1067</v>
      </c>
      <c r="AI12" s="2260"/>
      <c r="AJ12" s="1163" t="s">
        <v>1066</v>
      </c>
      <c r="AK12" s="1163" t="s">
        <v>1067</v>
      </c>
      <c r="AL12" s="1151"/>
      <c r="AM12" s="916"/>
      <c r="AN12" s="916"/>
      <c r="AO12" s="916"/>
      <c r="AP12" s="916"/>
      <c r="AQ12" s="916"/>
      <c r="AR12" s="916"/>
      <c r="AS12" s="916"/>
      <c r="AT12" s="916"/>
      <c r="AU12" s="916"/>
      <c r="AV12" s="916"/>
      <c r="AW12" s="916"/>
      <c r="AX12" s="916"/>
      <c r="AY12" s="916"/>
      <c r="AZ12" s="916"/>
      <c r="BA12" s="916"/>
      <c r="BB12" s="916"/>
      <c r="BC12" s="916"/>
      <c r="BD12" s="916"/>
      <c r="BE12" s="916"/>
      <c r="BF12" s="916"/>
      <c r="BG12" s="767">
        <v>34</v>
      </c>
    </row>
    <row customHeight="1" ht="1.05">
      <c r="E13" s="917"/>
      <c r="F13" s="1133">
        <v>0</v>
      </c>
      <c r="G13" s="1133"/>
      <c r="H13" s="1133"/>
      <c r="I13" s="1133"/>
      <c r="J13" s="1133"/>
      <c r="K13" s="1140"/>
      <c r="L13" s="1140"/>
      <c r="M13" s="1140"/>
      <c r="N13" s="1140"/>
      <c r="O13" s="1140"/>
      <c r="P13" s="1140"/>
      <c r="Q13" s="1140"/>
      <c r="R13" s="1140"/>
      <c r="S13" s="1140"/>
      <c r="T13" s="1140"/>
      <c r="U13" s="1140"/>
      <c r="V13" s="1140"/>
      <c r="W13" s="1140"/>
      <c r="X13" s="1140"/>
      <c r="Y13" s="1140"/>
      <c r="Z13" s="1140"/>
      <c r="AA13" s="1140"/>
      <c r="AB13" s="1140"/>
      <c r="AC13" s="1140"/>
      <c r="AD13" s="1140"/>
      <c r="AE13" s="1140"/>
      <c r="AF13" s="1140"/>
      <c r="AG13" s="1140"/>
      <c r="AH13" s="1158"/>
      <c r="AI13" s="1151"/>
      <c r="AJ13" s="1140"/>
      <c r="AK13" s="1140"/>
      <c r="AL13" s="918"/>
      <c r="AM13" s="916"/>
      <c r="AN13" s="916"/>
      <c r="AO13" s="916"/>
      <c r="AP13" s="916"/>
      <c r="AQ13" s="916"/>
      <c r="AR13" s="916"/>
      <c r="AS13" s="916"/>
      <c r="AT13" s="916"/>
      <c r="AU13" s="916"/>
      <c r="AV13" s="916"/>
      <c r="AW13" s="916"/>
      <c r="AX13" s="916"/>
      <c r="AY13" s="916"/>
      <c r="AZ13" s="916"/>
      <c r="BA13" s="916"/>
      <c r="BB13" s="916"/>
      <c r="BC13" s="916"/>
      <c r="BD13" s="916"/>
      <c r="BE13" s="916"/>
      <c r="BF13" s="916"/>
      <c r="BG13" s="767">
        <v>1</v>
      </c>
    </row>
    <row customHeight="1" ht="21">
      <c r="A14" s="1176" t="s">
        <v>1036</v>
      </c>
      <c r="B14" s="1175"/>
      <c r="C14" s="1175"/>
      <c r="D14" s="1169"/>
      <c r="E14" s="1179" t="s">
        <v>22</v>
      </c>
      <c r="F14" s="1131" t="str">
        <f>INDEX(IP_MAIN_LIST_NAME_IP,MATCH(A14,IP_MAIN_LIST_IP_ID,0))&amp;" ("&amp;INDEX(IP_MAIN_START_DATE,MATCH(A14,IP_MAIN_LIST_IP_ID,0))&amp;"-"&amp;INDEX(IP_MAIN_END_DATE,MATCH(A14,IP_MAIN_LIST_IP_ID,0))&amp;")"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14" s="1132"/>
      <c r="H14" s="1132"/>
      <c r="I14" s="1194"/>
      <c r="J14" s="1194"/>
      <c r="K14" s="1195"/>
      <c r="L14" s="1195"/>
      <c r="M14" s="1195"/>
      <c r="N14" s="1196"/>
      <c r="O14" s="1196"/>
      <c r="P14" s="1196"/>
      <c r="Q14" s="1196"/>
      <c r="R14" s="1196"/>
      <c r="S14" s="1196"/>
      <c r="T14" s="1196"/>
      <c r="U14" s="1196"/>
      <c r="V14" s="1196"/>
      <c r="W14" s="1196"/>
      <c r="X14" s="1196"/>
      <c r="Y14" s="1196"/>
      <c r="Z14" s="1196"/>
      <c r="AA14" s="1196"/>
      <c r="AB14" s="1196"/>
      <c r="AC14" s="1196"/>
      <c r="AD14" s="1196"/>
      <c r="AE14" s="1197"/>
      <c r="AF14" s="1195"/>
      <c r="AG14" s="1195"/>
      <c r="AH14" s="1195"/>
      <c r="AI14" s="1195"/>
      <c r="AJ14" s="1195"/>
      <c r="AK14" s="1195"/>
      <c r="AL14" s="1994"/>
      <c r="AM14" s="1831"/>
      <c r="AN14" s="1831"/>
      <c r="AO14" s="1831"/>
      <c r="AP14" s="1831"/>
      <c r="AQ14" s="1831"/>
      <c r="AR14" s="1831"/>
      <c r="AS14" s="1831"/>
      <c r="AT14" s="1831"/>
      <c r="AU14" s="1831"/>
      <c r="AV14" s="1831"/>
      <c r="AW14" s="1831"/>
      <c r="AX14" s="1831"/>
      <c r="AY14" s="1831"/>
      <c r="AZ14" s="1831"/>
      <c r="BA14" s="1831"/>
      <c r="BB14" s="1831"/>
      <c r="BC14" s="1831"/>
      <c r="BD14" s="1831"/>
      <c r="BE14" s="1831"/>
      <c r="BF14" s="1831"/>
      <c r="BG14" s="1644"/>
    </row>
    <row customHeight="1" ht="0.75">
      <c r="A15" s="1175" t="s">
        <v>1036</v>
      </c>
      <c r="B15" s="1175"/>
      <c r="C15" s="1175"/>
      <c r="D15" s="1169"/>
      <c r="E15" s="1179"/>
      <c r="F15" s="2564">
        <v>2025</v>
      </c>
      <c r="G15" s="2543"/>
      <c r="H15" s="2568" t="s">
        <v>391</v>
      </c>
      <c r="I15" s="2569"/>
      <c r="J15" s="2570"/>
      <c r="K15" s="2570"/>
      <c r="L15" s="2562"/>
      <c r="M15" s="2296"/>
      <c r="N15" s="2042"/>
      <c r="O15" s="2041"/>
      <c r="P15" s="2042"/>
      <c r="Q15" s="2042"/>
      <c r="R15" s="2042"/>
      <c r="S15" s="2042"/>
      <c r="T15" s="2042"/>
      <c r="U15" s="2042"/>
      <c r="V15" s="2042"/>
      <c r="W15" s="2042"/>
      <c r="X15" s="2042"/>
      <c r="Y15" s="2042"/>
      <c r="Z15" s="2042"/>
      <c r="AA15" s="2042"/>
      <c r="AB15" s="2042"/>
      <c r="AC15" s="2042"/>
      <c r="AD15" s="2042"/>
      <c r="AE15" s="2042"/>
      <c r="AF15" s="2566"/>
      <c r="AG15" s="2562"/>
      <c r="AH15" s="2562"/>
      <c r="AI15" s="2566"/>
      <c r="AJ15" s="2562"/>
      <c r="AK15" s="2562"/>
      <c r="AL15" s="1994"/>
      <c r="AM15" s="1831"/>
      <c r="AN15" s="1831"/>
      <c r="AO15" s="1831"/>
      <c r="AP15" s="1831"/>
      <c r="AQ15" s="1831"/>
      <c r="AR15" s="1831"/>
      <c r="AS15" s="1831"/>
      <c r="AT15" s="1831"/>
      <c r="AU15" s="1831"/>
      <c r="AV15" s="1831"/>
      <c r="AW15" s="1831"/>
      <c r="AX15" s="1831"/>
      <c r="AY15" s="1831"/>
      <c r="AZ15" s="1831"/>
      <c r="BA15" s="1831"/>
      <c r="BB15" s="1831"/>
      <c r="BC15" s="1831"/>
      <c r="BD15" s="1831"/>
      <c r="BE15" s="1831"/>
      <c r="BF15" s="1831"/>
      <c r="BG15" s="1644"/>
    </row>
    <row customHeight="1" ht="0.75">
      <c r="A16" s="1175" t="s">
        <v>1036</v>
      </c>
      <c r="B16" s="1175"/>
      <c r="C16" s="1175"/>
      <c r="D16" s="1169"/>
      <c r="E16" s="1179"/>
      <c r="F16" s="2564"/>
      <c r="G16" s="2543"/>
      <c r="H16" s="2568"/>
      <c r="I16" s="2569"/>
      <c r="J16" s="2570"/>
      <c r="K16" s="2570"/>
      <c r="L16" s="2562"/>
      <c r="M16" s="2296"/>
      <c r="N16" s="2571"/>
      <c r="O16" s="2572"/>
      <c r="P16" s="2616"/>
      <c r="Q16" s="2567"/>
      <c r="R16" s="2567"/>
      <c r="S16" s="2567"/>
      <c r="T16" s="2567"/>
      <c r="U16" s="2567"/>
      <c r="V16" s="2567"/>
      <c r="W16" s="2567"/>
      <c r="X16" s="2567"/>
      <c r="Y16" s="2567"/>
      <c r="Z16" s="2043"/>
      <c r="AA16" s="2044"/>
      <c r="AB16" s="2044"/>
      <c r="AC16" s="2045"/>
      <c r="AD16" s="2045"/>
      <c r="AE16" s="2046"/>
      <c r="AF16" s="2566"/>
      <c r="AG16" s="2562"/>
      <c r="AH16" s="2562"/>
      <c r="AI16" s="2566"/>
      <c r="AJ16" s="2562"/>
      <c r="AK16" s="2562"/>
      <c r="AL16" s="1994"/>
      <c r="AM16" s="1831"/>
      <c r="AN16" s="1831"/>
      <c r="AO16" s="1831"/>
      <c r="AP16" s="1831"/>
      <c r="AQ16" s="1831"/>
      <c r="AR16" s="1831"/>
      <c r="AS16" s="1831"/>
      <c r="AT16" s="1831"/>
      <c r="AU16" s="1831"/>
      <c r="AV16" s="1831"/>
      <c r="AW16" s="1831"/>
      <c r="AX16" s="1831"/>
      <c r="AY16" s="1831"/>
      <c r="AZ16" s="1831"/>
      <c r="BA16" s="1831"/>
      <c r="BB16" s="1831"/>
      <c r="BC16" s="1831"/>
      <c r="BD16" s="1831"/>
      <c r="BE16" s="1831"/>
      <c r="BF16" s="1831"/>
      <c r="BG16" s="1644"/>
    </row>
    <row customHeight="1" ht="0.75">
      <c r="A17" s="1175" t="s">
        <v>1036</v>
      </c>
      <c r="B17" s="1175"/>
      <c r="C17" s="1175"/>
      <c r="D17" s="1169"/>
      <c r="E17" s="1179"/>
      <c r="F17" s="2564"/>
      <c r="G17" s="2543"/>
      <c r="H17" s="2568"/>
      <c r="I17" s="2569"/>
      <c r="J17" s="2570"/>
      <c r="K17" s="2570"/>
      <c r="L17" s="2562"/>
      <c r="M17" s="2296"/>
      <c r="N17" s="2571"/>
      <c r="O17" s="2572"/>
      <c r="P17" s="2617"/>
      <c r="Q17" s="2567"/>
      <c r="R17" s="2567"/>
      <c r="S17" s="2567"/>
      <c r="T17" s="2567"/>
      <c r="U17" s="2567"/>
      <c r="V17" s="2567"/>
      <c r="W17" s="2567"/>
      <c r="X17" s="2567"/>
      <c r="Y17" s="2567"/>
      <c r="Z17" s="2047"/>
      <c r="AA17" s="2048"/>
      <c r="AB17" s="2049"/>
      <c r="AC17" s="2050"/>
      <c r="AD17" s="2049"/>
      <c r="AE17" s="2050"/>
      <c r="AF17" s="2566"/>
      <c r="AG17" s="2562"/>
      <c r="AH17" s="2562"/>
      <c r="AI17" s="2566"/>
      <c r="AJ17" s="2562"/>
      <c r="AK17" s="2562"/>
      <c r="AL17" s="1994"/>
      <c r="AM17" s="1831"/>
      <c r="AN17" s="1831"/>
      <c r="AO17" s="1831"/>
      <c r="AP17" s="1831"/>
      <c r="AQ17" s="1831"/>
      <c r="AR17" s="1831"/>
      <c r="AS17" s="1831"/>
      <c r="AT17" s="1831"/>
      <c r="AU17" s="1831"/>
      <c r="AV17" s="1831"/>
      <c r="AW17" s="1831"/>
      <c r="AX17" s="1831"/>
      <c r="AY17" s="1831"/>
      <c r="AZ17" s="1831"/>
      <c r="BA17" s="1831"/>
      <c r="BB17" s="1831"/>
      <c r="BC17" s="1831"/>
      <c r="BD17" s="1831"/>
      <c r="BE17" s="1831"/>
      <c r="BF17" s="1831"/>
      <c r="BG17" s="1644"/>
    </row>
    <row customHeight="1" ht="0.75">
      <c r="A18" s="1175" t="s">
        <v>1036</v>
      </c>
      <c r="B18" s="1175"/>
      <c r="C18" s="1175"/>
      <c r="D18" s="1169"/>
      <c r="E18" s="1179"/>
      <c r="F18" s="2564"/>
      <c r="G18" s="2543"/>
      <c r="H18" s="2568"/>
      <c r="I18" s="2569"/>
      <c r="J18" s="2570"/>
      <c r="K18" s="2570"/>
      <c r="L18" s="2562"/>
      <c r="M18" s="2296"/>
      <c r="N18" s="2571"/>
      <c r="O18" s="2572"/>
      <c r="P18" s="2618"/>
      <c r="Q18" s="2567"/>
      <c r="R18" s="2567"/>
      <c r="S18" s="2567"/>
      <c r="T18" s="2567"/>
      <c r="U18" s="2567"/>
      <c r="V18" s="2567"/>
      <c r="W18" s="2567"/>
      <c r="X18" s="2567"/>
      <c r="Y18" s="2567"/>
      <c r="Z18" s="2043"/>
      <c r="AA18" s="2044"/>
      <c r="AB18" s="2051"/>
      <c r="AC18" s="2045"/>
      <c r="AD18" s="2045"/>
      <c r="AE18" s="2052"/>
      <c r="AF18" s="2566"/>
      <c r="AG18" s="2562"/>
      <c r="AH18" s="2562"/>
      <c r="AI18" s="2566"/>
      <c r="AJ18" s="2562"/>
      <c r="AK18" s="2562"/>
      <c r="AL18" s="1994"/>
      <c r="AM18" s="1831"/>
      <c r="AN18" s="1831"/>
      <c r="AO18" s="1831"/>
      <c r="AP18" s="1831"/>
      <c r="AQ18" s="1831"/>
      <c r="AR18" s="1831"/>
      <c r="AS18" s="1831"/>
      <c r="AT18" s="1831"/>
      <c r="AU18" s="1831"/>
      <c r="AV18" s="1831"/>
      <c r="AW18" s="1831"/>
      <c r="AX18" s="1831"/>
      <c r="AY18" s="1831"/>
      <c r="AZ18" s="1831"/>
      <c r="BA18" s="1831"/>
      <c r="BB18" s="1831"/>
      <c r="BC18" s="1831"/>
      <c r="BD18" s="1831"/>
      <c r="BE18" s="1831"/>
      <c r="BF18" s="1831"/>
      <c r="BG18" s="1644"/>
    </row>
    <row customHeight="1" ht="0.75">
      <c r="A19" s="1175" t="s">
        <v>1036</v>
      </c>
      <c r="B19" s="1175"/>
      <c r="C19" s="1175"/>
      <c r="D19" s="1169"/>
      <c r="E19" s="1179"/>
      <c r="F19" s="2564"/>
      <c r="G19" s="2543"/>
      <c r="H19" s="2568"/>
      <c r="I19" s="2569"/>
      <c r="J19" s="2570"/>
      <c r="K19" s="2570"/>
      <c r="L19" s="2562"/>
      <c r="M19" s="2296"/>
      <c r="N19" s="2044"/>
      <c r="O19" s="2044"/>
      <c r="P19" s="2051"/>
      <c r="Q19" s="2044"/>
      <c r="R19" s="2044"/>
      <c r="S19" s="2044"/>
      <c r="T19" s="2044"/>
      <c r="U19" s="2044"/>
      <c r="V19" s="2044"/>
      <c r="W19" s="2044"/>
      <c r="X19" s="2044"/>
      <c r="Y19" s="2044"/>
      <c r="Z19" s="2044"/>
      <c r="AA19" s="2044"/>
      <c r="AB19" s="2044"/>
      <c r="AC19" s="2044"/>
      <c r="AD19" s="2044"/>
      <c r="AE19" s="2053"/>
      <c r="AF19" s="2566"/>
      <c r="AG19" s="2562"/>
      <c r="AH19" s="2562"/>
      <c r="AI19" s="2566"/>
      <c r="AJ19" s="2562"/>
      <c r="AK19" s="2562"/>
      <c r="AL19" s="1994"/>
      <c r="AM19" s="1831"/>
      <c r="AN19" s="1831"/>
      <c r="AO19" s="1831"/>
      <c r="AP19" s="1831"/>
      <c r="AQ19" s="1831"/>
      <c r="AR19" s="1831"/>
      <c r="AS19" s="1831"/>
      <c r="AT19" s="1831"/>
      <c r="AU19" s="1831"/>
      <c r="AV19" s="1831"/>
      <c r="AW19" s="1831"/>
      <c r="AX19" s="1831"/>
      <c r="AY19" s="1831"/>
      <c r="AZ19" s="1831"/>
      <c r="BA19" s="1831"/>
      <c r="BB19" s="1831"/>
      <c r="BC19" s="1831"/>
      <c r="BD19" s="1831"/>
      <c r="BE19" s="1831"/>
      <c r="BF19" s="1831"/>
      <c r="BG19" s="1644"/>
    </row>
    <row customHeight="1" ht="11.25">
      <c r="A20" s="1175" t="s">
        <v>1036</v>
      </c>
      <c r="B20" s="1175" t="s">
        <v>1068</v>
      </c>
      <c r="C20" s="1175"/>
      <c r="D20" s="1169"/>
      <c r="E20" s="1179"/>
      <c r="F20" s="1837"/>
      <c r="G20" s="692" t="s">
        <v>104</v>
      </c>
      <c r="H20" s="2543" t="s">
        <v>118</v>
      </c>
      <c r="I20" s="2544" t="s">
        <v>1069</v>
      </c>
      <c r="J20" s="2513" t="s">
        <v>1070</v>
      </c>
      <c r="K20" s="2545" t="s">
        <v>1071</v>
      </c>
      <c r="L20" s="2135" t="s">
        <v>19</v>
      </c>
      <c r="M20" s="2136"/>
      <c r="N20" s="1992"/>
      <c r="O20" s="1186" t="s">
        <v>391</v>
      </c>
      <c r="P20" s="1187"/>
      <c r="Q20" s="1187"/>
      <c r="R20" s="1187"/>
      <c r="S20" s="1187"/>
      <c r="T20" s="1187"/>
      <c r="U20" s="1187"/>
      <c r="V20" s="1187"/>
      <c r="W20" s="1187"/>
      <c r="X20" s="1187"/>
      <c r="Y20" s="1187"/>
      <c r="Z20" s="1187"/>
      <c r="AA20" s="1187"/>
      <c r="AB20" s="1187"/>
      <c r="AC20" s="1187"/>
      <c r="AD20" s="1187"/>
      <c r="AE20" s="1187"/>
      <c r="AF20" s="2534">
        <v>2</v>
      </c>
      <c r="AG20" s="2535" t="s">
        <v>1072</v>
      </c>
      <c r="AH20" s="2535" t="s">
        <v>1073</v>
      </c>
      <c r="AI20" s="2724"/>
      <c r="AJ20" s="2535" t="s">
        <v>1074</v>
      </c>
      <c r="AK20" s="2535" t="s">
        <v>1074</v>
      </c>
      <c r="AL20" s="1994"/>
      <c r="AM20" s="1831"/>
      <c r="AN20" s="1831"/>
      <c r="AO20" s="1831"/>
      <c r="AP20" s="1831"/>
      <c r="AQ20" s="1831"/>
      <c r="AR20" s="1831"/>
      <c r="AS20" s="1831"/>
      <c r="AT20" s="1831"/>
      <c r="AU20" s="1831"/>
      <c r="AV20" s="1831"/>
      <c r="AW20" s="1831"/>
      <c r="AX20" s="1831"/>
      <c r="AY20" s="1831"/>
      <c r="AZ20" s="1831"/>
      <c r="BA20" s="1831"/>
      <c r="BB20" s="1831"/>
      <c r="BC20" s="1831"/>
      <c r="BD20" s="1831"/>
      <c r="BE20" s="1831"/>
      <c r="BF20" s="1831"/>
      <c r="BG20" s="1644"/>
    </row>
    <row customHeight="1" ht="11.25">
      <c r="A21" s="1175" t="s">
        <v>1036</v>
      </c>
      <c r="B21" s="1175"/>
      <c r="C21" s="1175"/>
      <c r="D21" s="1169"/>
      <c r="E21" s="1179"/>
      <c r="F21" s="1837"/>
      <c r="G21" s="1838"/>
      <c r="H21" s="2543" t="s">
        <v>391</v>
      </c>
      <c r="I21" s="2544"/>
      <c r="J21" s="2513"/>
      <c r="K21" s="2545"/>
      <c r="L21" s="2135"/>
      <c r="M21" s="2136"/>
      <c r="N21" s="2536"/>
      <c r="O21" s="2537">
        <v>1</v>
      </c>
      <c r="P21" s="2538" t="s">
        <v>63</v>
      </c>
      <c r="Q21" s="2725" t="s">
        <v>1075</v>
      </c>
      <c r="R21" s="2726" t="s">
        <v>1076</v>
      </c>
      <c r="S21" s="2726" t="s">
        <v>106</v>
      </c>
      <c r="T21" s="2726" t="s">
        <v>106</v>
      </c>
      <c r="U21" s="2726" t="s">
        <v>107</v>
      </c>
      <c r="V21" s="2726" t="s">
        <v>1077</v>
      </c>
      <c r="W21" s="2726" t="s">
        <v>1078</v>
      </c>
      <c r="X21" s="2726" t="s">
        <v>1079</v>
      </c>
      <c r="Y21" s="2726" t="s">
        <v>1080</v>
      </c>
      <c r="Z21" s="1184"/>
      <c r="AA21" s="1185"/>
      <c r="AB21" s="1185"/>
      <c r="AC21" s="1189"/>
      <c r="AD21" s="1189"/>
      <c r="AE21" s="1190"/>
      <c r="AF21" s="2534"/>
      <c r="AG21" s="2535"/>
      <c r="AH21" s="2535"/>
      <c r="AI21" s="2724"/>
      <c r="AJ21" s="2535"/>
      <c r="AK21" s="2535"/>
      <c r="AL21" s="1994"/>
      <c r="AM21" s="1831"/>
      <c r="AN21" s="1831"/>
      <c r="AO21" s="1831"/>
      <c r="AP21" s="1831"/>
      <c r="AQ21" s="1831"/>
      <c r="AR21" s="1831"/>
      <c r="AS21" s="1831"/>
      <c r="AT21" s="1831"/>
      <c r="AU21" s="1831"/>
      <c r="AV21" s="1831"/>
      <c r="AW21" s="1831"/>
      <c r="AX21" s="1831"/>
      <c r="AY21" s="1831"/>
      <c r="AZ21" s="1831"/>
      <c r="BA21" s="1831"/>
      <c r="BB21" s="1831"/>
      <c r="BC21" s="1831"/>
      <c r="BD21" s="1831"/>
      <c r="BE21" s="1831"/>
      <c r="BF21" s="1831"/>
      <c r="BG21" s="1644"/>
    </row>
    <row customHeight="1" ht="11.25">
      <c r="A22" s="1175" t="s">
        <v>1036</v>
      </c>
      <c r="B22" s="1175"/>
      <c r="C22" s="1175"/>
      <c r="D22" s="1169"/>
      <c r="E22" s="1179"/>
      <c r="F22" s="1837"/>
      <c r="G22" s="1838"/>
      <c r="H22" s="2543" t="s">
        <v>391</v>
      </c>
      <c r="I22" s="2544"/>
      <c r="J22" s="2513"/>
      <c r="K22" s="2545"/>
      <c r="L22" s="2135"/>
      <c r="M22" s="2136"/>
      <c r="N22" s="2536"/>
      <c r="O22" s="2537"/>
      <c r="P22" s="2539"/>
      <c r="Q22" s="2725"/>
      <c r="R22" s="2541"/>
      <c r="S22" s="2542"/>
      <c r="T22" s="2541"/>
      <c r="U22" s="2541"/>
      <c r="V22" s="2541"/>
      <c r="W22" s="2541"/>
      <c r="X22" s="2541"/>
      <c r="Y22" s="2541"/>
      <c r="Z22" s="1836"/>
      <c r="AA22" s="1802">
        <v>1</v>
      </c>
      <c r="AB22" s="1188" t="s">
        <v>1081</v>
      </c>
      <c r="AC22" s="1178">
        <v>13220.3</v>
      </c>
      <c r="AD22" s="1188" t="str">
        <f>AB22</f>
        <v>      Амортизационные отчисления с выделением результатов переоценки основных средств и нематериальных активов</v>
      </c>
      <c r="AE22" s="1178">
        <v>7397.76</v>
      </c>
      <c r="AF22" s="2534"/>
      <c r="AG22" s="2535"/>
      <c r="AH22" s="2535"/>
      <c r="AI22" s="2724"/>
      <c r="AJ22" s="2535"/>
      <c r="AK22" s="2535"/>
      <c r="AL22" s="1994"/>
      <c r="AM22" s="1831"/>
      <c r="AN22" s="1831"/>
      <c r="AO22" s="1831"/>
      <c r="AP22" s="1831"/>
      <c r="AQ22" s="1831"/>
      <c r="AR22" s="1831"/>
      <c r="AS22" s="1831"/>
      <c r="AT22" s="1831"/>
      <c r="AU22" s="1831"/>
      <c r="AV22" s="1831"/>
      <c r="AW22" s="1831"/>
      <c r="AX22" s="1831"/>
      <c r="AY22" s="1831"/>
      <c r="AZ22" s="1831"/>
      <c r="BA22" s="1831"/>
      <c r="BB22" s="1831"/>
      <c r="BC22" s="1831"/>
      <c r="BD22" s="1831"/>
      <c r="BE22" s="1831"/>
      <c r="BF22" s="1831"/>
      <c r="BG22" s="1644"/>
    </row>
    <row customHeight="1" ht="11.25">
      <c r="A23" s="1175" t="s">
        <v>1036</v>
      </c>
      <c r="B23" s="1175"/>
      <c r="C23" s="1175"/>
      <c r="D23" s="1169"/>
      <c r="E23" s="1179"/>
      <c r="F23" s="1837"/>
      <c r="G23" s="1838"/>
      <c r="H23" s="2543" t="s">
        <v>391</v>
      </c>
      <c r="I23" s="2544"/>
      <c r="J23" s="2513"/>
      <c r="K23" s="2545"/>
      <c r="L23" s="2135"/>
      <c r="M23" s="2136"/>
      <c r="N23" s="2536"/>
      <c r="O23" s="2537"/>
      <c r="P23" s="2540"/>
      <c r="Q23" s="2725"/>
      <c r="R23" s="2541"/>
      <c r="S23" s="2542"/>
      <c r="T23" s="2541"/>
      <c r="U23" s="2541"/>
      <c r="V23" s="2541"/>
      <c r="W23" s="2541"/>
      <c r="X23" s="2541"/>
      <c r="Y23" s="2541"/>
      <c r="Z23" s="1184"/>
      <c r="AA23" s="1185"/>
      <c r="AB23" s="1250" t="s">
        <v>1082</v>
      </c>
      <c r="AC23" s="1189"/>
      <c r="AD23" s="1189"/>
      <c r="AE23" s="1191"/>
      <c r="AF23" s="2534"/>
      <c r="AG23" s="2535"/>
      <c r="AH23" s="2535"/>
      <c r="AI23" s="2724"/>
      <c r="AJ23" s="2535"/>
      <c r="AK23" s="2535"/>
      <c r="AL23" s="1994"/>
      <c r="AM23" s="1831"/>
      <c r="AN23" s="1831"/>
      <c r="AO23" s="1831"/>
      <c r="AP23" s="1831"/>
      <c r="AQ23" s="1831"/>
      <c r="AR23" s="1831"/>
      <c r="AS23" s="1831"/>
      <c r="AT23" s="1831"/>
      <c r="AU23" s="1831"/>
      <c r="AV23" s="1831"/>
      <c r="AW23" s="1831"/>
      <c r="AX23" s="1831"/>
      <c r="AY23" s="1831"/>
      <c r="AZ23" s="1831"/>
      <c r="BA23" s="1831"/>
      <c r="BB23" s="1831"/>
      <c r="BC23" s="1831"/>
      <c r="BD23" s="1831"/>
      <c r="BE23" s="1831"/>
      <c r="BF23" s="1831"/>
      <c r="BG23" s="1644"/>
    </row>
    <row customHeight="1" ht="11.25">
      <c r="A24" s="1175" t="s">
        <v>1036</v>
      </c>
      <c r="B24" s="1175"/>
      <c r="C24" s="1175"/>
      <c r="D24" s="1169"/>
      <c r="E24" s="1179"/>
      <c r="F24" s="1837"/>
      <c r="G24" s="1838"/>
      <c r="H24" s="2543" t="s">
        <v>391</v>
      </c>
      <c r="I24" s="2544"/>
      <c r="J24" s="2513"/>
      <c r="K24" s="2545"/>
      <c r="L24" s="2135"/>
      <c r="M24" s="2136"/>
      <c r="N24" s="1184"/>
      <c r="O24" s="1185"/>
      <c r="P24" s="1177" t="s">
        <v>1083</v>
      </c>
      <c r="Q24" s="1185"/>
      <c r="R24" s="1185"/>
      <c r="S24" s="1185"/>
      <c r="T24" s="1185"/>
      <c r="U24" s="1185"/>
      <c r="V24" s="1185"/>
      <c r="W24" s="1185"/>
      <c r="X24" s="1185"/>
      <c r="Y24" s="1185"/>
      <c r="Z24" s="1185"/>
      <c r="AA24" s="1185"/>
      <c r="AB24" s="1185"/>
      <c r="AC24" s="1185"/>
      <c r="AD24" s="1185"/>
      <c r="AE24" s="1192"/>
      <c r="AF24" s="2534"/>
      <c r="AG24" s="2535"/>
      <c r="AH24" s="2535"/>
      <c r="AI24" s="2724"/>
      <c r="AJ24" s="2535"/>
      <c r="AK24" s="2535"/>
      <c r="AL24" s="1994"/>
      <c r="AM24" s="1831"/>
      <c r="AN24" s="1831"/>
      <c r="AO24" s="1831"/>
      <c r="AP24" s="1831"/>
      <c r="AQ24" s="1831"/>
      <c r="AR24" s="1831"/>
      <c r="AS24" s="1831"/>
      <c r="AT24" s="1831"/>
      <c r="AU24" s="1831"/>
      <c r="AV24" s="1831"/>
      <c r="AW24" s="1831"/>
      <c r="AX24" s="1831"/>
      <c r="AY24" s="1831"/>
      <c r="AZ24" s="1831"/>
      <c r="BA24" s="1831"/>
      <c r="BB24" s="1831"/>
      <c r="BC24" s="1831"/>
      <c r="BD24" s="1831"/>
      <c r="BE24" s="1831"/>
      <c r="BF24" s="1831"/>
      <c r="BG24" s="1644"/>
    </row>
    <row customHeight="1" ht="11.25">
      <c r="A25" s="1175" t="s">
        <v>1036</v>
      </c>
      <c r="B25" s="1175" t="s">
        <v>1068</v>
      </c>
      <c r="C25" s="1175"/>
      <c r="D25" s="1169"/>
      <c r="E25" s="1179"/>
      <c r="F25" s="1837"/>
      <c r="G25" s="692" t="s">
        <v>104</v>
      </c>
      <c r="H25" s="2543" t="s">
        <v>103</v>
      </c>
      <c r="I25" s="2544" t="s">
        <v>1069</v>
      </c>
      <c r="J25" s="2513" t="s">
        <v>1070</v>
      </c>
      <c r="K25" s="2545" t="s">
        <v>1084</v>
      </c>
      <c r="L25" s="2135" t="s">
        <v>19</v>
      </c>
      <c r="M25" s="2136"/>
      <c r="N25" s="1992"/>
      <c r="O25" s="1186" t="s">
        <v>391</v>
      </c>
      <c r="P25" s="1187"/>
      <c r="Q25" s="1187"/>
      <c r="R25" s="1187"/>
      <c r="S25" s="1187"/>
      <c r="T25" s="1187"/>
      <c r="U25" s="1187"/>
      <c r="V25" s="1187"/>
      <c r="W25" s="1187"/>
      <c r="X25" s="1187"/>
      <c r="Y25" s="1187"/>
      <c r="Z25" s="1187"/>
      <c r="AA25" s="1187"/>
      <c r="AB25" s="1187"/>
      <c r="AC25" s="1187"/>
      <c r="AD25" s="1187"/>
      <c r="AE25" s="1187"/>
      <c r="AF25" s="2534">
        <v>1</v>
      </c>
      <c r="AG25" s="2535" t="s">
        <v>1072</v>
      </c>
      <c r="AH25" s="2535" t="s">
        <v>1085</v>
      </c>
      <c r="AI25" s="2534">
        <v>1</v>
      </c>
      <c r="AJ25" s="2535" t="s">
        <v>1086</v>
      </c>
      <c r="AK25" s="2535" t="s">
        <v>1085</v>
      </c>
      <c r="AL25" s="1994"/>
      <c r="AM25" s="1831"/>
      <c r="AN25" s="1831"/>
      <c r="AO25" s="1831"/>
      <c r="AP25" s="1831"/>
      <c r="AQ25" s="1831"/>
      <c r="AR25" s="1831"/>
      <c r="AS25" s="1831"/>
      <c r="AT25" s="1831"/>
      <c r="AU25" s="1831"/>
      <c r="AV25" s="1831"/>
      <c r="AW25" s="1831"/>
      <c r="AX25" s="1831"/>
      <c r="AY25" s="1831"/>
      <c r="AZ25" s="1831"/>
      <c r="BA25" s="1831"/>
      <c r="BB25" s="1831"/>
      <c r="BC25" s="1831"/>
      <c r="BD25" s="1831"/>
      <c r="BE25" s="1831"/>
      <c r="BF25" s="1831"/>
      <c r="BG25" s="1644"/>
    </row>
    <row customHeight="1" ht="11.25">
      <c r="A26" s="1175" t="s">
        <v>1036</v>
      </c>
      <c r="B26" s="1175"/>
      <c r="C26" s="1175"/>
      <c r="D26" s="1169"/>
      <c r="E26" s="1179"/>
      <c r="F26" s="1837"/>
      <c r="G26" s="1838"/>
      <c r="H26" s="2543" t="s">
        <v>118</v>
      </c>
      <c r="I26" s="2544"/>
      <c r="J26" s="2513"/>
      <c r="K26" s="2545"/>
      <c r="L26" s="2135"/>
      <c r="M26" s="2136"/>
      <c r="N26" s="2536"/>
      <c r="O26" s="2537">
        <v>1</v>
      </c>
      <c r="P26" s="2538" t="s">
        <v>63</v>
      </c>
      <c r="Q26" s="2725" t="s">
        <v>1075</v>
      </c>
      <c r="R26" s="2726" t="s">
        <v>1076</v>
      </c>
      <c r="S26" s="2726" t="s">
        <v>106</v>
      </c>
      <c r="T26" s="2726" t="s">
        <v>106</v>
      </c>
      <c r="U26" s="2726" t="s">
        <v>107</v>
      </c>
      <c r="V26" s="2726" t="s">
        <v>1077</v>
      </c>
      <c r="W26" s="2726" t="s">
        <v>1078</v>
      </c>
      <c r="X26" s="2726" t="s">
        <v>1079</v>
      </c>
      <c r="Y26" s="2726" t="s">
        <v>1080</v>
      </c>
      <c r="Z26" s="1184"/>
      <c r="AA26" s="1185"/>
      <c r="AB26" s="1185"/>
      <c r="AC26" s="1189"/>
      <c r="AD26" s="1189"/>
      <c r="AE26" s="1190"/>
      <c r="AF26" s="2534"/>
      <c r="AG26" s="2535"/>
      <c r="AH26" s="2535"/>
      <c r="AI26" s="2534"/>
      <c r="AJ26" s="2535"/>
      <c r="AK26" s="2535"/>
      <c r="AL26" s="1994"/>
      <c r="AM26" s="1831"/>
      <c r="AN26" s="1831"/>
      <c r="AO26" s="1831"/>
      <c r="AP26" s="1831"/>
      <c r="AQ26" s="1831"/>
      <c r="AR26" s="1831"/>
      <c r="AS26" s="1831"/>
      <c r="AT26" s="1831"/>
      <c r="AU26" s="1831"/>
      <c r="AV26" s="1831"/>
      <c r="AW26" s="1831"/>
      <c r="AX26" s="1831"/>
      <c r="AY26" s="1831"/>
      <c r="AZ26" s="1831"/>
      <c r="BA26" s="1831"/>
      <c r="BB26" s="1831"/>
      <c r="BC26" s="1831"/>
      <c r="BD26" s="1831"/>
      <c r="BE26" s="1831"/>
      <c r="BF26" s="1831"/>
      <c r="BG26" s="1644"/>
    </row>
    <row customHeight="1" ht="11.25">
      <c r="A27" s="1175" t="s">
        <v>1036</v>
      </c>
      <c r="B27" s="1175"/>
      <c r="C27" s="1175"/>
      <c r="D27" s="1169"/>
      <c r="E27" s="1179"/>
      <c r="F27" s="1837"/>
      <c r="G27" s="1838"/>
      <c r="H27" s="2543" t="s">
        <v>118</v>
      </c>
      <c r="I27" s="2544"/>
      <c r="J27" s="2513"/>
      <c r="K27" s="2545"/>
      <c r="L27" s="2135"/>
      <c r="M27" s="2136"/>
      <c r="N27" s="2536"/>
      <c r="O27" s="2537"/>
      <c r="P27" s="2539"/>
      <c r="Q27" s="2725"/>
      <c r="R27" s="2541"/>
      <c r="S27" s="2542"/>
      <c r="T27" s="2541"/>
      <c r="U27" s="2541"/>
      <c r="V27" s="2541"/>
      <c r="W27" s="2541"/>
      <c r="X27" s="2541"/>
      <c r="Y27" s="2541"/>
      <c r="Z27" s="1836"/>
      <c r="AA27" s="1802">
        <v>1</v>
      </c>
      <c r="AB27" s="1188" t="s">
        <v>1081</v>
      </c>
      <c r="AC27" s="1178">
        <v>1480.04</v>
      </c>
      <c r="AD27" s="1188" t="str">
        <f>AB27</f>
        <v>      Амортизационные отчисления с выделением результатов переоценки основных средств и нематериальных активов</v>
      </c>
      <c r="AE27" s="1178">
        <v>0</v>
      </c>
      <c r="AF27" s="2534"/>
      <c r="AG27" s="2535"/>
      <c r="AH27" s="2535"/>
      <c r="AI27" s="2534"/>
      <c r="AJ27" s="2535"/>
      <c r="AK27" s="2535"/>
      <c r="AL27" s="1994"/>
      <c r="AM27" s="1831"/>
      <c r="AN27" s="1831"/>
      <c r="AO27" s="1831"/>
      <c r="AP27" s="1831"/>
      <c r="AQ27" s="1831"/>
      <c r="AR27" s="1831"/>
      <c r="AS27" s="1831"/>
      <c r="AT27" s="1831"/>
      <c r="AU27" s="1831"/>
      <c r="AV27" s="1831"/>
      <c r="AW27" s="1831"/>
      <c r="AX27" s="1831"/>
      <c r="AY27" s="1831"/>
      <c r="AZ27" s="1831"/>
      <c r="BA27" s="1831"/>
      <c r="BB27" s="1831"/>
      <c r="BC27" s="1831"/>
      <c r="BD27" s="1831"/>
      <c r="BE27" s="1831"/>
      <c r="BF27" s="1831"/>
      <c r="BG27" s="1644"/>
    </row>
    <row customHeight="1" ht="11.25">
      <c r="A28" s="1175" t="s">
        <v>1036</v>
      </c>
      <c r="B28" s="1175"/>
      <c r="C28" s="1175"/>
      <c r="D28" s="1169"/>
      <c r="E28" s="1179"/>
      <c r="F28" s="1837"/>
      <c r="G28" s="1838"/>
      <c r="H28" s="2543" t="s">
        <v>118</v>
      </c>
      <c r="I28" s="2544"/>
      <c r="J28" s="2513"/>
      <c r="K28" s="2545"/>
      <c r="L28" s="2135"/>
      <c r="M28" s="2136"/>
      <c r="N28" s="2536"/>
      <c r="O28" s="2537"/>
      <c r="P28" s="2540"/>
      <c r="Q28" s="2725"/>
      <c r="R28" s="2541"/>
      <c r="S28" s="2542"/>
      <c r="T28" s="2541"/>
      <c r="U28" s="2541"/>
      <c r="V28" s="2541"/>
      <c r="W28" s="2541"/>
      <c r="X28" s="2541"/>
      <c r="Y28" s="2541"/>
      <c r="Z28" s="1184"/>
      <c r="AA28" s="1185"/>
      <c r="AB28" s="1250" t="s">
        <v>1082</v>
      </c>
      <c r="AC28" s="1189"/>
      <c r="AD28" s="1189"/>
      <c r="AE28" s="1191"/>
      <c r="AF28" s="2534"/>
      <c r="AG28" s="2535"/>
      <c r="AH28" s="2535"/>
      <c r="AI28" s="2534"/>
      <c r="AJ28" s="2535"/>
      <c r="AK28" s="2535"/>
      <c r="AL28" s="1994"/>
      <c r="AM28" s="1831"/>
      <c r="AN28" s="1831"/>
      <c r="AO28" s="1831"/>
      <c r="AP28" s="1831"/>
      <c r="AQ28" s="1831"/>
      <c r="AR28" s="1831"/>
      <c r="AS28" s="1831"/>
      <c r="AT28" s="1831"/>
      <c r="AU28" s="1831"/>
      <c r="AV28" s="1831"/>
      <c r="AW28" s="1831"/>
      <c r="AX28" s="1831"/>
      <c r="AY28" s="1831"/>
      <c r="AZ28" s="1831"/>
      <c r="BA28" s="1831"/>
      <c r="BB28" s="1831"/>
      <c r="BC28" s="1831"/>
      <c r="BD28" s="1831"/>
      <c r="BE28" s="1831"/>
      <c r="BF28" s="1831"/>
      <c r="BG28" s="1644"/>
    </row>
    <row customHeight="1" ht="11.25">
      <c r="A29" s="1175" t="s">
        <v>1036</v>
      </c>
      <c r="B29" s="1175"/>
      <c r="C29" s="1175"/>
      <c r="D29" s="1169"/>
      <c r="E29" s="1179"/>
      <c r="F29" s="1837"/>
      <c r="G29" s="1838"/>
      <c r="H29" s="2543" t="s">
        <v>118</v>
      </c>
      <c r="I29" s="2544"/>
      <c r="J29" s="2513"/>
      <c r="K29" s="2545"/>
      <c r="L29" s="2135"/>
      <c r="M29" s="2136"/>
      <c r="N29" s="1184"/>
      <c r="O29" s="1185"/>
      <c r="P29" s="1177" t="s">
        <v>1083</v>
      </c>
      <c r="Q29" s="1185"/>
      <c r="R29" s="1185"/>
      <c r="S29" s="1185"/>
      <c r="T29" s="1185"/>
      <c r="U29" s="1185"/>
      <c r="V29" s="1185"/>
      <c r="W29" s="1185"/>
      <c r="X29" s="1185"/>
      <c r="Y29" s="1185"/>
      <c r="Z29" s="1185"/>
      <c r="AA29" s="1185"/>
      <c r="AB29" s="1185"/>
      <c r="AC29" s="1185"/>
      <c r="AD29" s="1185"/>
      <c r="AE29" s="1192"/>
      <c r="AF29" s="2534"/>
      <c r="AG29" s="2535"/>
      <c r="AH29" s="2535"/>
      <c r="AI29" s="2534"/>
      <c r="AJ29" s="2535"/>
      <c r="AK29" s="2535"/>
      <c r="AL29" s="1994"/>
      <c r="AM29" s="1831"/>
      <c r="AN29" s="1831"/>
      <c r="AO29" s="1831"/>
      <c r="AP29" s="1831"/>
      <c r="AQ29" s="1831"/>
      <c r="AR29" s="1831"/>
      <c r="AS29" s="1831"/>
      <c r="AT29" s="1831"/>
      <c r="AU29" s="1831"/>
      <c r="AV29" s="1831"/>
      <c r="AW29" s="1831"/>
      <c r="AX29" s="1831"/>
      <c r="AY29" s="1831"/>
      <c r="AZ29" s="1831"/>
      <c r="BA29" s="1831"/>
      <c r="BB29" s="1831"/>
      <c r="BC29" s="1831"/>
      <c r="BD29" s="1831"/>
      <c r="BE29" s="1831"/>
      <c r="BF29" s="1831"/>
      <c r="BG29" s="1644"/>
    </row>
    <row customHeight="1" ht="11.25">
      <c r="A30" s="1175" t="s">
        <v>1036</v>
      </c>
      <c r="B30" s="1175" t="s">
        <v>22</v>
      </c>
      <c r="C30" s="1175"/>
      <c r="D30" s="1169"/>
      <c r="E30" s="1179"/>
      <c r="F30" s="1837"/>
      <c r="G30" s="692" t="s">
        <v>104</v>
      </c>
      <c r="H30" s="2543" t="s">
        <v>91</v>
      </c>
      <c r="I30" s="2544" t="s">
        <v>1087</v>
      </c>
      <c r="J30" s="2727" t="s">
        <v>22</v>
      </c>
      <c r="K30" s="2545" t="s">
        <v>1088</v>
      </c>
      <c r="L30" s="2135" t="s">
        <v>19</v>
      </c>
      <c r="M30" s="2136"/>
      <c r="N30" s="1992"/>
      <c r="O30" s="1186" t="s">
        <v>391</v>
      </c>
      <c r="P30" s="1187"/>
      <c r="Q30" s="1187"/>
      <c r="R30" s="1187"/>
      <c r="S30" s="1187"/>
      <c r="T30" s="1187"/>
      <c r="U30" s="1187"/>
      <c r="V30" s="1187"/>
      <c r="W30" s="1187"/>
      <c r="X30" s="1187"/>
      <c r="Y30" s="1187"/>
      <c r="Z30" s="1187"/>
      <c r="AA30" s="1187"/>
      <c r="AB30" s="1187"/>
      <c r="AC30" s="1187"/>
      <c r="AD30" s="1187"/>
      <c r="AE30" s="1187"/>
      <c r="AF30" s="2534">
        <v>1</v>
      </c>
      <c r="AG30" s="2535" t="s">
        <v>1072</v>
      </c>
      <c r="AH30" s="2535" t="s">
        <v>1085</v>
      </c>
      <c r="AI30" s="2905"/>
      <c r="AJ30" s="2535" t="s">
        <v>1089</v>
      </c>
      <c r="AK30" s="2535" t="s">
        <v>1089</v>
      </c>
      <c r="AL30" s="1994"/>
      <c r="AM30" s="1831"/>
      <c r="AN30" s="1831"/>
      <c r="AO30" s="1831"/>
      <c r="AP30" s="1831"/>
      <c r="AQ30" s="1831"/>
      <c r="AR30" s="1831"/>
      <c r="AS30" s="1831"/>
      <c r="AT30" s="1831"/>
      <c r="AU30" s="1831"/>
      <c r="AV30" s="1831"/>
      <c r="AW30" s="1831"/>
      <c r="AX30" s="1831"/>
      <c r="AY30" s="1831"/>
      <c r="AZ30" s="1831"/>
      <c r="BA30" s="1831"/>
      <c r="BB30" s="1831"/>
      <c r="BC30" s="1831"/>
      <c r="BD30" s="1831"/>
      <c r="BE30" s="1831"/>
      <c r="BF30" s="1831"/>
      <c r="BG30" s="1644"/>
    </row>
    <row customHeight="1" ht="11.25">
      <c r="A31" s="1175" t="s">
        <v>1036</v>
      </c>
      <c r="B31" s="1175"/>
      <c r="C31" s="1175"/>
      <c r="D31" s="1169"/>
      <c r="E31" s="1179"/>
      <c r="F31" s="1837"/>
      <c r="G31" s="1838"/>
      <c r="H31" s="2543" t="s">
        <v>103</v>
      </c>
      <c r="I31" s="2544"/>
      <c r="J31" s="2727"/>
      <c r="K31" s="2545"/>
      <c r="L31" s="2135"/>
      <c r="M31" s="2136"/>
      <c r="N31" s="2536"/>
      <c r="O31" s="2537">
        <v>1</v>
      </c>
      <c r="P31" s="2538" t="s">
        <v>63</v>
      </c>
      <c r="Q31" s="2725" t="s">
        <v>1075</v>
      </c>
      <c r="R31" s="2726" t="s">
        <v>1076</v>
      </c>
      <c r="S31" s="2726" t="s">
        <v>106</v>
      </c>
      <c r="T31" s="2726" t="s">
        <v>106</v>
      </c>
      <c r="U31" s="2726" t="s">
        <v>107</v>
      </c>
      <c r="V31" s="2726" t="s">
        <v>1077</v>
      </c>
      <c r="W31" s="2726" t="s">
        <v>1078</v>
      </c>
      <c r="X31" s="2726" t="s">
        <v>1079</v>
      </c>
      <c r="Y31" s="2726" t="s">
        <v>1080</v>
      </c>
      <c r="Z31" s="1184"/>
      <c r="AA31" s="1185"/>
      <c r="AB31" s="1185"/>
      <c r="AC31" s="1189"/>
      <c r="AD31" s="1189"/>
      <c r="AE31" s="1190"/>
      <c r="AF31" s="2534"/>
      <c r="AG31" s="2535"/>
      <c r="AH31" s="2535"/>
      <c r="AI31" s="2905"/>
      <c r="AJ31" s="2535"/>
      <c r="AK31" s="2535"/>
      <c r="AL31" s="1994"/>
      <c r="AM31" s="1831"/>
      <c r="AN31" s="1831"/>
      <c r="AO31" s="1831"/>
      <c r="AP31" s="1831"/>
      <c r="AQ31" s="1831"/>
      <c r="AR31" s="1831"/>
      <c r="AS31" s="1831"/>
      <c r="AT31" s="1831"/>
      <c r="AU31" s="1831"/>
      <c r="AV31" s="1831"/>
      <c r="AW31" s="1831"/>
      <c r="AX31" s="1831"/>
      <c r="AY31" s="1831"/>
      <c r="AZ31" s="1831"/>
      <c r="BA31" s="1831"/>
      <c r="BB31" s="1831"/>
      <c r="BC31" s="1831"/>
      <c r="BD31" s="1831"/>
      <c r="BE31" s="1831"/>
      <c r="BF31" s="1831"/>
      <c r="BG31" s="1644"/>
    </row>
    <row customHeight="1" ht="11.25">
      <c r="A32" s="1175" t="s">
        <v>1036</v>
      </c>
      <c r="B32" s="1175"/>
      <c r="C32" s="1175"/>
      <c r="D32" s="1169"/>
      <c r="E32" s="1179"/>
      <c r="F32" s="1837"/>
      <c r="G32" s="1838"/>
      <c r="H32" s="2543" t="s">
        <v>103</v>
      </c>
      <c r="I32" s="2544"/>
      <c r="J32" s="2727"/>
      <c r="K32" s="2545"/>
      <c r="L32" s="2135"/>
      <c r="M32" s="2136"/>
      <c r="N32" s="2536"/>
      <c r="O32" s="2537"/>
      <c r="P32" s="2539"/>
      <c r="Q32" s="2725"/>
      <c r="R32" s="2541"/>
      <c r="S32" s="2542"/>
      <c r="T32" s="2541"/>
      <c r="U32" s="2541"/>
      <c r="V32" s="2541"/>
      <c r="W32" s="2541"/>
      <c r="X32" s="2541"/>
      <c r="Y32" s="2541"/>
      <c r="Z32" s="1836"/>
      <c r="AA32" s="1802">
        <v>1</v>
      </c>
      <c r="AB32" s="1188" t="s">
        <v>1081</v>
      </c>
      <c r="AC32" s="1178">
        <v>36996.32</v>
      </c>
      <c r="AD32" s="1188" t="str">
        <f>AB32</f>
        <v>      Амортизационные отчисления с выделением результатов переоценки основных средств и нематериальных активов</v>
      </c>
      <c r="AE32" s="1178">
        <v>11786.41</v>
      </c>
      <c r="AF32" s="2534"/>
      <c r="AG32" s="2535"/>
      <c r="AH32" s="2535"/>
      <c r="AI32" s="2905"/>
      <c r="AJ32" s="2535"/>
      <c r="AK32" s="2535"/>
      <c r="AL32" s="1994"/>
      <c r="AM32" s="1831"/>
      <c r="AN32" s="1831"/>
      <c r="AO32" s="1831"/>
      <c r="AP32" s="1831"/>
      <c r="AQ32" s="1831"/>
      <c r="AR32" s="1831"/>
      <c r="AS32" s="1831"/>
      <c r="AT32" s="1831"/>
      <c r="AU32" s="1831"/>
      <c r="AV32" s="1831"/>
      <c r="AW32" s="1831"/>
      <c r="AX32" s="1831"/>
      <c r="AY32" s="1831"/>
      <c r="AZ32" s="1831"/>
      <c r="BA32" s="1831"/>
      <c r="BB32" s="1831"/>
      <c r="BC32" s="1831"/>
      <c r="BD32" s="1831"/>
      <c r="BE32" s="1831"/>
      <c r="BF32" s="1831"/>
      <c r="BG32" s="1644"/>
    </row>
    <row customHeight="1" ht="11.25">
      <c r="A33" s="1175" t="s">
        <v>1036</v>
      </c>
      <c r="B33" s="1175"/>
      <c r="C33" s="1175"/>
      <c r="D33" s="1169"/>
      <c r="E33" s="1179"/>
      <c r="F33" s="1837"/>
      <c r="G33" s="1838"/>
      <c r="H33" s="2543" t="s">
        <v>103</v>
      </c>
      <c r="I33" s="2544"/>
      <c r="J33" s="2727"/>
      <c r="K33" s="2545"/>
      <c r="L33" s="2135"/>
      <c r="M33" s="2136"/>
      <c r="N33" s="2536"/>
      <c r="O33" s="2537"/>
      <c r="P33" s="2540"/>
      <c r="Q33" s="2725"/>
      <c r="R33" s="2541"/>
      <c r="S33" s="2542"/>
      <c r="T33" s="2541"/>
      <c r="U33" s="2541"/>
      <c r="V33" s="2541"/>
      <c r="W33" s="2541"/>
      <c r="X33" s="2541"/>
      <c r="Y33" s="2541"/>
      <c r="Z33" s="1184"/>
      <c r="AA33" s="1185"/>
      <c r="AB33" s="1250" t="s">
        <v>1082</v>
      </c>
      <c r="AC33" s="1189"/>
      <c r="AD33" s="1189"/>
      <c r="AE33" s="1191"/>
      <c r="AF33" s="2534"/>
      <c r="AG33" s="2535"/>
      <c r="AH33" s="2535"/>
      <c r="AI33" s="2905"/>
      <c r="AJ33" s="2535"/>
      <c r="AK33" s="2535"/>
      <c r="AL33" s="1994"/>
      <c r="AM33" s="1831"/>
      <c r="AN33" s="1831"/>
      <c r="AO33" s="1831"/>
      <c r="AP33" s="1831"/>
      <c r="AQ33" s="1831"/>
      <c r="AR33" s="1831"/>
      <c r="AS33" s="1831"/>
      <c r="AT33" s="1831"/>
      <c r="AU33" s="1831"/>
      <c r="AV33" s="1831"/>
      <c r="AW33" s="1831"/>
      <c r="AX33" s="1831"/>
      <c r="AY33" s="1831"/>
      <c r="AZ33" s="1831"/>
      <c r="BA33" s="1831"/>
      <c r="BB33" s="1831"/>
      <c r="BC33" s="1831"/>
      <c r="BD33" s="1831"/>
      <c r="BE33" s="1831"/>
      <c r="BF33" s="1831"/>
      <c r="BG33" s="1644"/>
    </row>
    <row customHeight="1" ht="11.25">
      <c r="A34" s="1175" t="s">
        <v>1036</v>
      </c>
      <c r="B34" s="1175"/>
      <c r="C34" s="1175"/>
      <c r="D34" s="1169"/>
      <c r="E34" s="1179"/>
      <c r="F34" s="1837"/>
      <c r="G34" s="1838"/>
      <c r="H34" s="2543" t="s">
        <v>103</v>
      </c>
      <c r="I34" s="2544"/>
      <c r="J34" s="2727"/>
      <c r="K34" s="2545"/>
      <c r="L34" s="2135"/>
      <c r="M34" s="2136"/>
      <c r="N34" s="1184"/>
      <c r="O34" s="1185"/>
      <c r="P34" s="1177" t="s">
        <v>1083</v>
      </c>
      <c r="Q34" s="1185"/>
      <c r="R34" s="1185"/>
      <c r="S34" s="1185"/>
      <c r="T34" s="1185"/>
      <c r="U34" s="1185"/>
      <c r="V34" s="1185"/>
      <c r="W34" s="1185"/>
      <c r="X34" s="1185"/>
      <c r="Y34" s="1185"/>
      <c r="Z34" s="1185"/>
      <c r="AA34" s="1185"/>
      <c r="AB34" s="1185"/>
      <c r="AC34" s="1185"/>
      <c r="AD34" s="1185"/>
      <c r="AE34" s="1192"/>
      <c r="AF34" s="2534"/>
      <c r="AG34" s="2535"/>
      <c r="AH34" s="2535"/>
      <c r="AI34" s="2905"/>
      <c r="AJ34" s="2535"/>
      <c r="AK34" s="2535"/>
      <c r="AL34" s="1994"/>
      <c r="AM34" s="1831"/>
      <c r="AN34" s="1831"/>
      <c r="AO34" s="1831"/>
      <c r="AP34" s="1831"/>
      <c r="AQ34" s="1831"/>
      <c r="AR34" s="1831"/>
      <c r="AS34" s="1831"/>
      <c r="AT34" s="1831"/>
      <c r="AU34" s="1831"/>
      <c r="AV34" s="1831"/>
      <c r="AW34" s="1831"/>
      <c r="AX34" s="1831"/>
      <c r="AY34" s="1831"/>
      <c r="AZ34" s="1831"/>
      <c r="BA34" s="1831"/>
      <c r="BB34" s="1831"/>
      <c r="BC34" s="1831"/>
      <c r="BD34" s="1831"/>
      <c r="BE34" s="1831"/>
      <c r="BF34" s="1831"/>
      <c r="BG34" s="1644"/>
    </row>
    <row customHeight="1" ht="11.25">
      <c r="A35" s="1175" t="s">
        <v>1036</v>
      </c>
      <c r="B35" s="1175" t="s">
        <v>1068</v>
      </c>
      <c r="C35" s="1175"/>
      <c r="D35" s="1169"/>
      <c r="E35" s="1179"/>
      <c r="F35" s="1837"/>
      <c r="G35" s="692" t="s">
        <v>104</v>
      </c>
      <c r="H35" s="2543" t="s">
        <v>92</v>
      </c>
      <c r="I35" s="2544" t="s">
        <v>1069</v>
      </c>
      <c r="J35" s="2513" t="s">
        <v>1070</v>
      </c>
      <c r="K35" s="2545" t="s">
        <v>1090</v>
      </c>
      <c r="L35" s="2135" t="s">
        <v>19</v>
      </c>
      <c r="M35" s="2136"/>
      <c r="N35" s="1992"/>
      <c r="O35" s="1186" t="s">
        <v>391</v>
      </c>
      <c r="P35" s="1187"/>
      <c r="Q35" s="1187"/>
      <c r="R35" s="1187"/>
      <c r="S35" s="1187"/>
      <c r="T35" s="1187"/>
      <c r="U35" s="1187"/>
      <c r="V35" s="1187"/>
      <c r="W35" s="1187"/>
      <c r="X35" s="1187"/>
      <c r="Y35" s="1187"/>
      <c r="Z35" s="1187"/>
      <c r="AA35" s="1187"/>
      <c r="AB35" s="1187"/>
      <c r="AC35" s="1187"/>
      <c r="AD35" s="1187"/>
      <c r="AE35" s="1187"/>
      <c r="AF35" s="2534">
        <v>2</v>
      </c>
      <c r="AG35" s="2535" t="s">
        <v>1072</v>
      </c>
      <c r="AH35" s="2535" t="s">
        <v>1073</v>
      </c>
      <c r="AI35" s="2724"/>
      <c r="AJ35" s="2535" t="s">
        <v>1074</v>
      </c>
      <c r="AK35" s="2535" t="s">
        <v>1074</v>
      </c>
      <c r="AL35" s="1994"/>
      <c r="AM35" s="1831"/>
      <c r="AN35" s="1831"/>
      <c r="AO35" s="1831"/>
      <c r="AP35" s="1831"/>
      <c r="AQ35" s="1831"/>
      <c r="AR35" s="1831"/>
      <c r="AS35" s="1831"/>
      <c r="AT35" s="1831"/>
      <c r="AU35" s="1831"/>
      <c r="AV35" s="1831"/>
      <c r="AW35" s="1831"/>
      <c r="AX35" s="1831"/>
      <c r="AY35" s="1831"/>
      <c r="AZ35" s="1831"/>
      <c r="BA35" s="1831"/>
      <c r="BB35" s="1831"/>
      <c r="BC35" s="1831"/>
      <c r="BD35" s="1831"/>
      <c r="BE35" s="1831"/>
      <c r="BF35" s="1831"/>
      <c r="BG35" s="1644"/>
    </row>
    <row customHeight="1" ht="11.25">
      <c r="A36" s="1175" t="s">
        <v>1036</v>
      </c>
      <c r="B36" s="1175"/>
      <c r="C36" s="1175"/>
      <c r="D36" s="1169"/>
      <c r="E36" s="1179"/>
      <c r="F36" s="1837"/>
      <c r="G36" s="1838"/>
      <c r="H36" s="2543" t="s">
        <v>91</v>
      </c>
      <c r="I36" s="2544"/>
      <c r="J36" s="2513"/>
      <c r="K36" s="2545"/>
      <c r="L36" s="2135"/>
      <c r="M36" s="2136"/>
      <c r="N36" s="2536"/>
      <c r="O36" s="2537">
        <v>1</v>
      </c>
      <c r="P36" s="2538" t="s">
        <v>63</v>
      </c>
      <c r="Q36" s="2725" t="s">
        <v>1075</v>
      </c>
      <c r="R36" s="2726" t="s">
        <v>1076</v>
      </c>
      <c r="S36" s="2726" t="s">
        <v>106</v>
      </c>
      <c r="T36" s="2726" t="s">
        <v>106</v>
      </c>
      <c r="U36" s="2726" t="s">
        <v>107</v>
      </c>
      <c r="V36" s="2726" t="s">
        <v>1077</v>
      </c>
      <c r="W36" s="2726" t="s">
        <v>1078</v>
      </c>
      <c r="X36" s="2726" t="s">
        <v>1079</v>
      </c>
      <c r="Y36" s="2726" t="s">
        <v>1080</v>
      </c>
      <c r="Z36" s="1184"/>
      <c r="AA36" s="1185"/>
      <c r="AB36" s="1185"/>
      <c r="AC36" s="1189"/>
      <c r="AD36" s="1189"/>
      <c r="AE36" s="1190"/>
      <c r="AF36" s="2534"/>
      <c r="AG36" s="2535"/>
      <c r="AH36" s="2535"/>
      <c r="AI36" s="2724"/>
      <c r="AJ36" s="2535"/>
      <c r="AK36" s="2535"/>
      <c r="AL36" s="1994"/>
      <c r="AM36" s="1831"/>
      <c r="AN36" s="1831"/>
      <c r="AO36" s="1831"/>
      <c r="AP36" s="1831"/>
      <c r="AQ36" s="1831"/>
      <c r="AR36" s="1831"/>
      <c r="AS36" s="1831"/>
      <c r="AT36" s="1831"/>
      <c r="AU36" s="1831"/>
      <c r="AV36" s="1831"/>
      <c r="AW36" s="1831"/>
      <c r="AX36" s="1831"/>
      <c r="AY36" s="1831"/>
      <c r="AZ36" s="1831"/>
      <c r="BA36" s="1831"/>
      <c r="BB36" s="1831"/>
      <c r="BC36" s="1831"/>
      <c r="BD36" s="1831"/>
      <c r="BE36" s="1831"/>
      <c r="BF36" s="1831"/>
      <c r="BG36" s="1644"/>
    </row>
    <row customHeight="1" ht="11.25">
      <c r="A37" s="1175" t="s">
        <v>1036</v>
      </c>
      <c r="B37" s="1175"/>
      <c r="C37" s="1175"/>
      <c r="D37" s="1169"/>
      <c r="E37" s="1179"/>
      <c r="F37" s="1837"/>
      <c r="G37" s="1838"/>
      <c r="H37" s="2543" t="s">
        <v>91</v>
      </c>
      <c r="I37" s="2544"/>
      <c r="J37" s="2513"/>
      <c r="K37" s="2545"/>
      <c r="L37" s="2135"/>
      <c r="M37" s="2136"/>
      <c r="N37" s="2536"/>
      <c r="O37" s="2537"/>
      <c r="P37" s="2539"/>
      <c r="Q37" s="2725"/>
      <c r="R37" s="2541"/>
      <c r="S37" s="2542"/>
      <c r="T37" s="2541"/>
      <c r="U37" s="2541"/>
      <c r="V37" s="2541"/>
      <c r="W37" s="2541"/>
      <c r="X37" s="2541"/>
      <c r="Y37" s="2541"/>
      <c r="Z37" s="1836"/>
      <c r="AA37" s="1802">
        <v>1</v>
      </c>
      <c r="AB37" s="1188" t="s">
        <v>1081</v>
      </c>
      <c r="AC37" s="1178">
        <v>6107.88</v>
      </c>
      <c r="AD37" s="1188" t="str">
        <f>AB37</f>
        <v>      Амортизационные отчисления с выделением результатов переоценки основных средств и нематериальных активов</v>
      </c>
      <c r="AE37" s="1178">
        <v>0</v>
      </c>
      <c r="AF37" s="2534"/>
      <c r="AG37" s="2535"/>
      <c r="AH37" s="2535"/>
      <c r="AI37" s="2724"/>
      <c r="AJ37" s="2535"/>
      <c r="AK37" s="2535"/>
      <c r="AL37" s="1994"/>
      <c r="AM37" s="1831"/>
      <c r="AN37" s="1831"/>
      <c r="AO37" s="1831"/>
      <c r="AP37" s="1831"/>
      <c r="AQ37" s="1831"/>
      <c r="AR37" s="1831"/>
      <c r="AS37" s="1831"/>
      <c r="AT37" s="1831"/>
      <c r="AU37" s="1831"/>
      <c r="AV37" s="1831"/>
      <c r="AW37" s="1831"/>
      <c r="AX37" s="1831"/>
      <c r="AY37" s="1831"/>
      <c r="AZ37" s="1831"/>
      <c r="BA37" s="1831"/>
      <c r="BB37" s="1831"/>
      <c r="BC37" s="1831"/>
      <c r="BD37" s="1831"/>
      <c r="BE37" s="1831"/>
      <c r="BF37" s="1831"/>
      <c r="BG37" s="1644"/>
    </row>
    <row customHeight="1" ht="11.25">
      <c r="A38" s="1175" t="s">
        <v>1036</v>
      </c>
      <c r="B38" s="1175"/>
      <c r="C38" s="1175"/>
      <c r="D38" s="1169"/>
      <c r="E38" s="1179"/>
      <c r="F38" s="1838"/>
      <c r="G38" s="1838"/>
      <c r="H38" s="1838"/>
      <c r="I38" s="1838"/>
      <c r="J38" s="1838"/>
      <c r="K38" s="1838"/>
      <c r="L38" s="1838"/>
      <c r="M38" s="1838"/>
      <c r="N38" s="1838"/>
      <c r="O38" s="1838"/>
      <c r="P38" s="1838"/>
      <c r="Q38" s="1838"/>
      <c r="R38" s="1838"/>
      <c r="S38" s="1838"/>
      <c r="T38" s="1838"/>
      <c r="U38" s="1838"/>
      <c r="V38" s="1838"/>
      <c r="W38" s="1838"/>
      <c r="X38" s="1838"/>
      <c r="Y38" s="1838"/>
      <c r="Z38" s="692" t="s">
        <v>104</v>
      </c>
      <c r="AA38" s="1822" t="s">
        <v>103</v>
      </c>
      <c r="AB38" s="1188" t="s">
        <v>1091</v>
      </c>
      <c r="AC38" s="1178">
        <v>38088.08</v>
      </c>
      <c r="AD38" s="1188" t="str">
        <f>AB38</f>
        <v>  Прочие собственные средства</v>
      </c>
      <c r="AE38" s="1178">
        <v>0</v>
      </c>
      <c r="AF38" s="2095"/>
      <c r="AG38" s="1767"/>
      <c r="AH38" s="1767"/>
      <c r="AI38" s="2728"/>
      <c r="AJ38" s="1767"/>
      <c r="AK38" s="1993"/>
      <c r="AL38" s="1994"/>
      <c r="AM38" s="1831"/>
      <c r="AN38" s="1831"/>
      <c r="AO38" s="1831"/>
      <c r="AP38" s="1831"/>
      <c r="AQ38" s="1831"/>
      <c r="AR38" s="1831"/>
      <c r="AS38" s="1831"/>
      <c r="AT38" s="1831"/>
      <c r="AU38" s="1831"/>
      <c r="AV38" s="1831"/>
      <c r="AW38" s="1831"/>
      <c r="AX38" s="1831"/>
      <c r="AY38" s="1831"/>
      <c r="AZ38" s="1831"/>
      <c r="BA38" s="1831"/>
      <c r="BB38" s="1831"/>
      <c r="BC38" s="1831"/>
      <c r="BD38" s="1831"/>
      <c r="BE38" s="1831"/>
      <c r="BF38" s="1831"/>
      <c r="BG38" s="1644"/>
    </row>
    <row customHeight="1" ht="11.25">
      <c r="A39" s="1175" t="s">
        <v>1036</v>
      </c>
      <c r="B39" s="1175"/>
      <c r="C39" s="1175"/>
      <c r="D39" s="1169"/>
      <c r="E39" s="1179"/>
      <c r="F39" s="1837"/>
      <c r="G39" s="1838"/>
      <c r="H39" s="2543" t="s">
        <v>91</v>
      </c>
      <c r="I39" s="2544"/>
      <c r="J39" s="2513"/>
      <c r="K39" s="2545"/>
      <c r="L39" s="2135"/>
      <c r="M39" s="2136"/>
      <c r="N39" s="2536"/>
      <c r="O39" s="2537"/>
      <c r="P39" s="2540"/>
      <c r="Q39" s="2725"/>
      <c r="R39" s="2541"/>
      <c r="S39" s="2542"/>
      <c r="T39" s="2541"/>
      <c r="U39" s="2541"/>
      <c r="V39" s="2541"/>
      <c r="W39" s="2541"/>
      <c r="X39" s="2541"/>
      <c r="Y39" s="2541"/>
      <c r="Z39" s="1184"/>
      <c r="AA39" s="1185"/>
      <c r="AB39" s="1250" t="s">
        <v>1082</v>
      </c>
      <c r="AC39" s="1189"/>
      <c r="AD39" s="1189"/>
      <c r="AE39" s="1191"/>
      <c r="AF39" s="2534"/>
      <c r="AG39" s="2535"/>
      <c r="AH39" s="2535"/>
      <c r="AI39" s="2724"/>
      <c r="AJ39" s="2535"/>
      <c r="AK39" s="2535"/>
      <c r="AL39" s="1994"/>
      <c r="AM39" s="1831"/>
      <c r="AN39" s="1831"/>
      <c r="AO39" s="1831"/>
      <c r="AP39" s="1831"/>
      <c r="AQ39" s="1831"/>
      <c r="AR39" s="1831"/>
      <c r="AS39" s="1831"/>
      <c r="AT39" s="1831"/>
      <c r="AU39" s="1831"/>
      <c r="AV39" s="1831"/>
      <c r="AW39" s="1831"/>
      <c r="AX39" s="1831"/>
      <c r="AY39" s="1831"/>
      <c r="AZ39" s="1831"/>
      <c r="BA39" s="1831"/>
      <c r="BB39" s="1831"/>
      <c r="BC39" s="1831"/>
      <c r="BD39" s="1831"/>
      <c r="BE39" s="1831"/>
      <c r="BF39" s="1831"/>
      <c r="BG39" s="1644"/>
    </row>
    <row customHeight="1" ht="11.25">
      <c r="A40" s="1175" t="s">
        <v>1036</v>
      </c>
      <c r="B40" s="1175"/>
      <c r="C40" s="1175"/>
      <c r="D40" s="1169"/>
      <c r="E40" s="1179"/>
      <c r="F40" s="1837"/>
      <c r="G40" s="1838"/>
      <c r="H40" s="2543" t="s">
        <v>91</v>
      </c>
      <c r="I40" s="2544"/>
      <c r="J40" s="2513"/>
      <c r="K40" s="2545"/>
      <c r="L40" s="2135"/>
      <c r="M40" s="2136"/>
      <c r="N40" s="1184"/>
      <c r="O40" s="1185"/>
      <c r="P40" s="1177" t="s">
        <v>1083</v>
      </c>
      <c r="Q40" s="1185"/>
      <c r="R40" s="1185"/>
      <c r="S40" s="1185"/>
      <c r="T40" s="1185"/>
      <c r="U40" s="1185"/>
      <c r="V40" s="1185"/>
      <c r="W40" s="1185"/>
      <c r="X40" s="1185"/>
      <c r="Y40" s="1185"/>
      <c r="Z40" s="1185"/>
      <c r="AA40" s="1185"/>
      <c r="AB40" s="1185"/>
      <c r="AC40" s="1185"/>
      <c r="AD40" s="1185"/>
      <c r="AE40" s="1192"/>
      <c r="AF40" s="2534"/>
      <c r="AG40" s="2535"/>
      <c r="AH40" s="2535"/>
      <c r="AI40" s="2724"/>
      <c r="AJ40" s="2535"/>
      <c r="AK40" s="2535"/>
      <c r="AL40" s="1994"/>
      <c r="AM40" s="1831"/>
      <c r="AN40" s="1831"/>
      <c r="AO40" s="1831"/>
      <c r="AP40" s="1831"/>
      <c r="AQ40" s="1831"/>
      <c r="AR40" s="1831"/>
      <c r="AS40" s="1831"/>
      <c r="AT40" s="1831"/>
      <c r="AU40" s="1831"/>
      <c r="AV40" s="1831"/>
      <c r="AW40" s="1831"/>
      <c r="AX40" s="1831"/>
      <c r="AY40" s="1831"/>
      <c r="AZ40" s="1831"/>
      <c r="BA40" s="1831"/>
      <c r="BB40" s="1831"/>
      <c r="BC40" s="1831"/>
      <c r="BD40" s="1831"/>
      <c r="BE40" s="1831"/>
      <c r="BF40" s="1831"/>
      <c r="BG40" s="1644"/>
    </row>
    <row customHeight="1" ht="11.25">
      <c r="A41" s="1175" t="s">
        <v>1036</v>
      </c>
      <c r="B41" s="1175" t="s">
        <v>1068</v>
      </c>
      <c r="C41" s="1175"/>
      <c r="D41" s="1169"/>
      <c r="E41" s="1179"/>
      <c r="F41" s="1837"/>
      <c r="G41" s="692" t="s">
        <v>104</v>
      </c>
      <c r="H41" s="2543" t="s">
        <v>119</v>
      </c>
      <c r="I41" s="2544" t="s">
        <v>1069</v>
      </c>
      <c r="J41" s="2513" t="s">
        <v>1092</v>
      </c>
      <c r="K41" s="2545" t="s">
        <v>1093</v>
      </c>
      <c r="L41" s="2135" t="s">
        <v>19</v>
      </c>
      <c r="M41" s="2136"/>
      <c r="N41" s="1992"/>
      <c r="O41" s="1186" t="s">
        <v>391</v>
      </c>
      <c r="P41" s="1187"/>
      <c r="Q41" s="1187"/>
      <c r="R41" s="1187"/>
      <c r="S41" s="1187"/>
      <c r="T41" s="1187"/>
      <c r="U41" s="1187"/>
      <c r="V41" s="1187"/>
      <c r="W41" s="1187"/>
      <c r="X41" s="1187"/>
      <c r="Y41" s="1187"/>
      <c r="Z41" s="1187"/>
      <c r="AA41" s="1187"/>
      <c r="AB41" s="1187"/>
      <c r="AC41" s="1187"/>
      <c r="AD41" s="1187"/>
      <c r="AE41" s="1187"/>
      <c r="AF41" s="2534">
        <v>1</v>
      </c>
      <c r="AG41" s="2535" t="s">
        <v>1094</v>
      </c>
      <c r="AH41" s="2535" t="s">
        <v>1085</v>
      </c>
      <c r="AI41" s="2534">
        <v>1</v>
      </c>
      <c r="AJ41" s="2535" t="s">
        <v>1095</v>
      </c>
      <c r="AK41" s="2535" t="s">
        <v>1085</v>
      </c>
      <c r="AL41" s="1994"/>
      <c r="AM41" s="1831"/>
      <c r="AN41" s="1831"/>
      <c r="AO41" s="1831"/>
      <c r="AP41" s="1831"/>
      <c r="AQ41" s="1831"/>
      <c r="AR41" s="1831"/>
      <c r="AS41" s="1831"/>
      <c r="AT41" s="1831"/>
      <c r="AU41" s="1831"/>
      <c r="AV41" s="1831"/>
      <c r="AW41" s="1831"/>
      <c r="AX41" s="1831"/>
      <c r="AY41" s="1831"/>
      <c r="AZ41" s="1831"/>
      <c r="BA41" s="1831"/>
      <c r="BB41" s="1831"/>
      <c r="BC41" s="1831"/>
      <c r="BD41" s="1831"/>
      <c r="BE41" s="1831"/>
      <c r="BF41" s="1831"/>
      <c r="BG41" s="1644"/>
    </row>
    <row customHeight="1" ht="11.25">
      <c r="A42" s="1175" t="s">
        <v>1036</v>
      </c>
      <c r="B42" s="1175"/>
      <c r="C42" s="1175"/>
      <c r="D42" s="1169"/>
      <c r="E42" s="1179"/>
      <c r="F42" s="1837"/>
      <c r="G42" s="1838"/>
      <c r="H42" s="2543" t="s">
        <v>92</v>
      </c>
      <c r="I42" s="2544"/>
      <c r="J42" s="2513"/>
      <c r="K42" s="2545"/>
      <c r="L42" s="2135"/>
      <c r="M42" s="2136"/>
      <c r="N42" s="2536"/>
      <c r="O42" s="2537">
        <v>1</v>
      </c>
      <c r="P42" s="2538" t="s">
        <v>63</v>
      </c>
      <c r="Q42" s="2725" t="s">
        <v>1096</v>
      </c>
      <c r="R42" s="2726" t="s">
        <v>1097</v>
      </c>
      <c r="S42" s="2726" t="s">
        <v>106</v>
      </c>
      <c r="T42" s="2726" t="s">
        <v>106</v>
      </c>
      <c r="U42" s="2726" t="s">
        <v>107</v>
      </c>
      <c r="V42" s="2726" t="s">
        <v>1077</v>
      </c>
      <c r="W42" s="2726" t="s">
        <v>1078</v>
      </c>
      <c r="X42" s="2726" t="s">
        <v>1098</v>
      </c>
      <c r="Y42" s="2726" t="s">
        <v>1099</v>
      </c>
      <c r="Z42" s="1184"/>
      <c r="AA42" s="1185"/>
      <c r="AB42" s="1185"/>
      <c r="AC42" s="1189"/>
      <c r="AD42" s="1189"/>
      <c r="AE42" s="1190"/>
      <c r="AF42" s="2534"/>
      <c r="AG42" s="2535"/>
      <c r="AH42" s="2535"/>
      <c r="AI42" s="2534"/>
      <c r="AJ42" s="2535"/>
      <c r="AK42" s="2535"/>
      <c r="AL42" s="1994"/>
      <c r="AM42" s="1831"/>
      <c r="AN42" s="1831"/>
      <c r="AO42" s="1831"/>
      <c r="AP42" s="1831"/>
      <c r="AQ42" s="1831"/>
      <c r="AR42" s="1831"/>
      <c r="AS42" s="1831"/>
      <c r="AT42" s="1831"/>
      <c r="AU42" s="1831"/>
      <c r="AV42" s="1831"/>
      <c r="AW42" s="1831"/>
      <c r="AX42" s="1831"/>
      <c r="AY42" s="1831"/>
      <c r="AZ42" s="1831"/>
      <c r="BA42" s="1831"/>
      <c r="BB42" s="1831"/>
      <c r="BC42" s="1831"/>
      <c r="BD42" s="1831"/>
      <c r="BE42" s="1831"/>
      <c r="BF42" s="1831"/>
      <c r="BG42" s="1644"/>
    </row>
    <row customHeight="1" ht="11.25">
      <c r="A43" s="1175" t="s">
        <v>1036</v>
      </c>
      <c r="B43" s="1175"/>
      <c r="C43" s="1175"/>
      <c r="D43" s="1169"/>
      <c r="E43" s="1179"/>
      <c r="F43" s="1837"/>
      <c r="G43" s="1838"/>
      <c r="H43" s="2543" t="s">
        <v>92</v>
      </c>
      <c r="I43" s="2544"/>
      <c r="J43" s="2513"/>
      <c r="K43" s="2545"/>
      <c r="L43" s="2135"/>
      <c r="M43" s="2136"/>
      <c r="N43" s="2536"/>
      <c r="O43" s="2537"/>
      <c r="P43" s="2539"/>
      <c r="Q43" s="2725"/>
      <c r="R43" s="2541"/>
      <c r="S43" s="2542"/>
      <c r="T43" s="2541"/>
      <c r="U43" s="2541"/>
      <c r="V43" s="2541"/>
      <c r="W43" s="2541"/>
      <c r="X43" s="2541"/>
      <c r="Y43" s="2541"/>
      <c r="Z43" s="1836"/>
      <c r="AA43" s="1802">
        <v>1</v>
      </c>
      <c r="AB43" s="1188" t="s">
        <v>1081</v>
      </c>
      <c r="AC43" s="1178">
        <v>3675.53</v>
      </c>
      <c r="AD43" s="1188" t="str">
        <f>AB43</f>
        <v>      Амортизационные отчисления с выделением результатов переоценки основных средств и нематериальных активов</v>
      </c>
      <c r="AE43" s="1178">
        <v>3675.53</v>
      </c>
      <c r="AF43" s="2534"/>
      <c r="AG43" s="2535"/>
      <c r="AH43" s="2535"/>
      <c r="AI43" s="2534"/>
      <c r="AJ43" s="2535"/>
      <c r="AK43" s="2535"/>
      <c r="AL43" s="1994"/>
      <c r="AM43" s="1831"/>
      <c r="AN43" s="1831"/>
      <c r="AO43" s="1831"/>
      <c r="AP43" s="1831"/>
      <c r="AQ43" s="1831"/>
      <c r="AR43" s="1831"/>
      <c r="AS43" s="1831"/>
      <c r="AT43" s="1831"/>
      <c r="AU43" s="1831"/>
      <c r="AV43" s="1831"/>
      <c r="AW43" s="1831"/>
      <c r="AX43" s="1831"/>
      <c r="AY43" s="1831"/>
      <c r="AZ43" s="1831"/>
      <c r="BA43" s="1831"/>
      <c r="BB43" s="1831"/>
      <c r="BC43" s="1831"/>
      <c r="BD43" s="1831"/>
      <c r="BE43" s="1831"/>
      <c r="BF43" s="1831"/>
      <c r="BG43" s="1644"/>
    </row>
    <row customHeight="1" ht="11.25">
      <c r="A44" s="1175" t="s">
        <v>1036</v>
      </c>
      <c r="B44" s="1175"/>
      <c r="C44" s="1175"/>
      <c r="D44" s="1169"/>
      <c r="E44" s="1179"/>
      <c r="F44" s="1837"/>
      <c r="G44" s="1838"/>
      <c r="H44" s="2543" t="s">
        <v>92</v>
      </c>
      <c r="I44" s="2544"/>
      <c r="J44" s="2513"/>
      <c r="K44" s="2545"/>
      <c r="L44" s="2135"/>
      <c r="M44" s="2136"/>
      <c r="N44" s="2536"/>
      <c r="O44" s="2537"/>
      <c r="P44" s="2540"/>
      <c r="Q44" s="2725"/>
      <c r="R44" s="2541"/>
      <c r="S44" s="2542"/>
      <c r="T44" s="2541"/>
      <c r="U44" s="2541"/>
      <c r="V44" s="2541"/>
      <c r="W44" s="2541"/>
      <c r="X44" s="2541"/>
      <c r="Y44" s="2541"/>
      <c r="Z44" s="1184"/>
      <c r="AA44" s="1185"/>
      <c r="AB44" s="1250" t="s">
        <v>1082</v>
      </c>
      <c r="AC44" s="1189"/>
      <c r="AD44" s="1189"/>
      <c r="AE44" s="1191"/>
      <c r="AF44" s="2534"/>
      <c r="AG44" s="2535"/>
      <c r="AH44" s="2535"/>
      <c r="AI44" s="2534"/>
      <c r="AJ44" s="2535"/>
      <c r="AK44" s="2535"/>
      <c r="AL44" s="1994"/>
      <c r="AM44" s="1831"/>
      <c r="AN44" s="1831"/>
      <c r="AO44" s="1831"/>
      <c r="AP44" s="1831"/>
      <c r="AQ44" s="1831"/>
      <c r="AR44" s="1831"/>
      <c r="AS44" s="1831"/>
      <c r="AT44" s="1831"/>
      <c r="AU44" s="1831"/>
      <c r="AV44" s="1831"/>
      <c r="AW44" s="1831"/>
      <c r="AX44" s="1831"/>
      <c r="AY44" s="1831"/>
      <c r="AZ44" s="1831"/>
      <c r="BA44" s="1831"/>
      <c r="BB44" s="1831"/>
      <c r="BC44" s="1831"/>
      <c r="BD44" s="1831"/>
      <c r="BE44" s="1831"/>
      <c r="BF44" s="1831"/>
      <c r="BG44" s="1644"/>
    </row>
    <row customHeight="1" ht="11.25">
      <c r="A45" s="1175" t="s">
        <v>1036</v>
      </c>
      <c r="B45" s="1175"/>
      <c r="C45" s="1175"/>
      <c r="D45" s="1169"/>
      <c r="E45" s="1179"/>
      <c r="F45" s="1837"/>
      <c r="G45" s="1838"/>
      <c r="H45" s="2543" t="s">
        <v>92</v>
      </c>
      <c r="I45" s="2544"/>
      <c r="J45" s="2513"/>
      <c r="K45" s="2545"/>
      <c r="L45" s="2135"/>
      <c r="M45" s="2136"/>
      <c r="N45" s="1184"/>
      <c r="O45" s="1185"/>
      <c r="P45" s="1177" t="s">
        <v>1083</v>
      </c>
      <c r="Q45" s="1185"/>
      <c r="R45" s="1185"/>
      <c r="S45" s="1185"/>
      <c r="T45" s="1185"/>
      <c r="U45" s="1185"/>
      <c r="V45" s="1185"/>
      <c r="W45" s="1185"/>
      <c r="X45" s="1185"/>
      <c r="Y45" s="1185"/>
      <c r="Z45" s="1185"/>
      <c r="AA45" s="1185"/>
      <c r="AB45" s="1185"/>
      <c r="AC45" s="1185"/>
      <c r="AD45" s="1185"/>
      <c r="AE45" s="1192"/>
      <c r="AF45" s="2534"/>
      <c r="AG45" s="2535"/>
      <c r="AH45" s="2535"/>
      <c r="AI45" s="2534"/>
      <c r="AJ45" s="2535"/>
      <c r="AK45" s="2535"/>
      <c r="AL45" s="1994"/>
      <c r="AM45" s="1831"/>
      <c r="AN45" s="1831"/>
      <c r="AO45" s="1831"/>
      <c r="AP45" s="1831"/>
      <c r="AQ45" s="1831"/>
      <c r="AR45" s="1831"/>
      <c r="AS45" s="1831"/>
      <c r="AT45" s="1831"/>
      <c r="AU45" s="1831"/>
      <c r="AV45" s="1831"/>
      <c r="AW45" s="1831"/>
      <c r="AX45" s="1831"/>
      <c r="AY45" s="1831"/>
      <c r="AZ45" s="1831"/>
      <c r="BA45" s="1831"/>
      <c r="BB45" s="1831"/>
      <c r="BC45" s="1831"/>
      <c r="BD45" s="1831"/>
      <c r="BE45" s="1831"/>
      <c r="BF45" s="1831"/>
      <c r="BG45" s="1644"/>
    </row>
    <row customHeight="1" ht="11.25">
      <c r="A46" s="1175" t="s">
        <v>1036</v>
      </c>
      <c r="B46" s="1175" t="s">
        <v>1068</v>
      </c>
      <c r="C46" s="1175"/>
      <c r="D46" s="1169"/>
      <c r="E46" s="1179"/>
      <c r="F46" s="1837"/>
      <c r="G46" s="692" t="s">
        <v>104</v>
      </c>
      <c r="H46" s="2543" t="s">
        <v>93</v>
      </c>
      <c r="I46" s="2544" t="s">
        <v>1069</v>
      </c>
      <c r="J46" s="2513" t="s">
        <v>1092</v>
      </c>
      <c r="K46" s="2545" t="s">
        <v>1100</v>
      </c>
      <c r="L46" s="2135" t="s">
        <v>19</v>
      </c>
      <c r="M46" s="2136"/>
      <c r="N46" s="1992"/>
      <c r="O46" s="1186" t="s">
        <v>391</v>
      </c>
      <c r="P46" s="1187"/>
      <c r="Q46" s="1187"/>
      <c r="R46" s="1187"/>
      <c r="S46" s="1187"/>
      <c r="T46" s="1187"/>
      <c r="U46" s="1187"/>
      <c r="V46" s="1187"/>
      <c r="W46" s="1187"/>
      <c r="X46" s="1187"/>
      <c r="Y46" s="1187"/>
      <c r="Z46" s="1187"/>
      <c r="AA46" s="1187"/>
      <c r="AB46" s="1187"/>
      <c r="AC46" s="1187"/>
      <c r="AD46" s="1187"/>
      <c r="AE46" s="1187"/>
      <c r="AF46" s="2534">
        <v>1</v>
      </c>
      <c r="AG46" s="2535" t="s">
        <v>1094</v>
      </c>
      <c r="AH46" s="2535" t="s">
        <v>1085</v>
      </c>
      <c r="AI46" s="2534">
        <v>1</v>
      </c>
      <c r="AJ46" s="2535" t="s">
        <v>1095</v>
      </c>
      <c r="AK46" s="2535" t="s">
        <v>1085</v>
      </c>
      <c r="AL46" s="1994"/>
      <c r="AM46" s="1831"/>
      <c r="AN46" s="1831"/>
      <c r="AO46" s="1831"/>
      <c r="AP46" s="1831"/>
      <c r="AQ46" s="1831"/>
      <c r="AR46" s="1831"/>
      <c r="AS46" s="1831"/>
      <c r="AT46" s="1831"/>
      <c r="AU46" s="1831"/>
      <c r="AV46" s="1831"/>
      <c r="AW46" s="1831"/>
      <c r="AX46" s="1831"/>
      <c r="AY46" s="1831"/>
      <c r="AZ46" s="1831"/>
      <c r="BA46" s="1831"/>
      <c r="BB46" s="1831"/>
      <c r="BC46" s="1831"/>
      <c r="BD46" s="1831"/>
      <c r="BE46" s="1831"/>
      <c r="BF46" s="1831"/>
      <c r="BG46" s="1644"/>
    </row>
    <row customHeight="1" ht="11.25">
      <c r="A47" s="1175" t="s">
        <v>1036</v>
      </c>
      <c r="B47" s="1175"/>
      <c r="C47" s="1175"/>
      <c r="D47" s="1169"/>
      <c r="E47" s="1179"/>
      <c r="F47" s="1837"/>
      <c r="G47" s="1838"/>
      <c r="H47" s="2543" t="s">
        <v>119</v>
      </c>
      <c r="I47" s="2544"/>
      <c r="J47" s="2513"/>
      <c r="K47" s="2545"/>
      <c r="L47" s="2135"/>
      <c r="M47" s="2136"/>
      <c r="N47" s="2536"/>
      <c r="O47" s="2537">
        <v>1</v>
      </c>
      <c r="P47" s="2538" t="s">
        <v>63</v>
      </c>
      <c r="Q47" s="2725" t="s">
        <v>1101</v>
      </c>
      <c r="R47" s="2726" t="s">
        <v>1076</v>
      </c>
      <c r="S47" s="2726" t="s">
        <v>106</v>
      </c>
      <c r="T47" s="2726" t="s">
        <v>106</v>
      </c>
      <c r="U47" s="2726" t="s">
        <v>107</v>
      </c>
      <c r="V47" s="2726" t="s">
        <v>1077</v>
      </c>
      <c r="W47" s="2726" t="s">
        <v>1078</v>
      </c>
      <c r="X47" s="2726" t="s">
        <v>1102</v>
      </c>
      <c r="Y47" s="2726" t="s">
        <v>1103</v>
      </c>
      <c r="Z47" s="1184"/>
      <c r="AA47" s="1185"/>
      <c r="AB47" s="1185"/>
      <c r="AC47" s="1189"/>
      <c r="AD47" s="1189"/>
      <c r="AE47" s="1190"/>
      <c r="AF47" s="2534"/>
      <c r="AG47" s="2535"/>
      <c r="AH47" s="2535"/>
      <c r="AI47" s="2534"/>
      <c r="AJ47" s="2535"/>
      <c r="AK47" s="2535"/>
      <c r="AL47" s="1994"/>
      <c r="AM47" s="1831"/>
      <c r="AN47" s="1831"/>
      <c r="AO47" s="1831"/>
      <c r="AP47" s="1831"/>
      <c r="AQ47" s="1831"/>
      <c r="AR47" s="1831"/>
      <c r="AS47" s="1831"/>
      <c r="AT47" s="1831"/>
      <c r="AU47" s="1831"/>
      <c r="AV47" s="1831"/>
      <c r="AW47" s="1831"/>
      <c r="AX47" s="1831"/>
      <c r="AY47" s="1831"/>
      <c r="AZ47" s="1831"/>
      <c r="BA47" s="1831"/>
      <c r="BB47" s="1831"/>
      <c r="BC47" s="1831"/>
      <c r="BD47" s="1831"/>
      <c r="BE47" s="1831"/>
      <c r="BF47" s="1831"/>
      <c r="BG47" s="1644"/>
    </row>
    <row customHeight="1" ht="11.25">
      <c r="A48" s="1175" t="s">
        <v>1036</v>
      </c>
      <c r="B48" s="1175"/>
      <c r="C48" s="1175"/>
      <c r="D48" s="1169"/>
      <c r="E48" s="1179"/>
      <c r="F48" s="1837"/>
      <c r="G48" s="1838"/>
      <c r="H48" s="2543" t="s">
        <v>119</v>
      </c>
      <c r="I48" s="2544"/>
      <c r="J48" s="2513"/>
      <c r="K48" s="2545"/>
      <c r="L48" s="2135"/>
      <c r="M48" s="2136"/>
      <c r="N48" s="2536"/>
      <c r="O48" s="2537"/>
      <c r="P48" s="2539"/>
      <c r="Q48" s="2725"/>
      <c r="R48" s="2541"/>
      <c r="S48" s="2542"/>
      <c r="T48" s="2541"/>
      <c r="U48" s="2541"/>
      <c r="V48" s="2541"/>
      <c r="W48" s="2541"/>
      <c r="X48" s="2541"/>
      <c r="Y48" s="2541"/>
      <c r="Z48" s="1836"/>
      <c r="AA48" s="1802">
        <v>1</v>
      </c>
      <c r="AB48" s="1188" t="s">
        <v>1081</v>
      </c>
      <c r="AC48" s="1178">
        <v>4655.28</v>
      </c>
      <c r="AD48" s="1188" t="str">
        <f>AB48</f>
        <v>      Амортизационные отчисления с выделением результатов переоценки основных средств и нематериальных активов</v>
      </c>
      <c r="AE48" s="1178">
        <v>0</v>
      </c>
      <c r="AF48" s="2534"/>
      <c r="AG48" s="2535"/>
      <c r="AH48" s="2535"/>
      <c r="AI48" s="2534"/>
      <c r="AJ48" s="2535"/>
      <c r="AK48" s="2535"/>
      <c r="AL48" s="1994"/>
      <c r="AM48" s="1831"/>
      <c r="AN48" s="1831"/>
      <c r="AO48" s="1831"/>
      <c r="AP48" s="1831"/>
      <c r="AQ48" s="1831"/>
      <c r="AR48" s="1831"/>
      <c r="AS48" s="1831"/>
      <c r="AT48" s="1831"/>
      <c r="AU48" s="1831"/>
      <c r="AV48" s="1831"/>
      <c r="AW48" s="1831"/>
      <c r="AX48" s="1831"/>
      <c r="AY48" s="1831"/>
      <c r="AZ48" s="1831"/>
      <c r="BA48" s="1831"/>
      <c r="BB48" s="1831"/>
      <c r="BC48" s="1831"/>
      <c r="BD48" s="1831"/>
      <c r="BE48" s="1831"/>
      <c r="BF48" s="1831"/>
      <c r="BG48" s="1644"/>
    </row>
    <row customHeight="1" ht="11.25">
      <c r="A49" s="1175" t="s">
        <v>1036</v>
      </c>
      <c r="B49" s="1175"/>
      <c r="C49" s="1175"/>
      <c r="D49" s="1169"/>
      <c r="E49" s="1179"/>
      <c r="F49" s="1837"/>
      <c r="G49" s="1838"/>
      <c r="H49" s="2543" t="s">
        <v>119</v>
      </c>
      <c r="I49" s="2544"/>
      <c r="J49" s="2513"/>
      <c r="K49" s="2545"/>
      <c r="L49" s="2135"/>
      <c r="M49" s="2136"/>
      <c r="N49" s="2536"/>
      <c r="O49" s="2537"/>
      <c r="P49" s="2540"/>
      <c r="Q49" s="2725"/>
      <c r="R49" s="2541"/>
      <c r="S49" s="2542"/>
      <c r="T49" s="2541"/>
      <c r="U49" s="2541"/>
      <c r="V49" s="2541"/>
      <c r="W49" s="2541"/>
      <c r="X49" s="2541"/>
      <c r="Y49" s="2541"/>
      <c r="Z49" s="1184"/>
      <c r="AA49" s="1185"/>
      <c r="AB49" s="1250" t="s">
        <v>1082</v>
      </c>
      <c r="AC49" s="1189"/>
      <c r="AD49" s="1189"/>
      <c r="AE49" s="1191"/>
      <c r="AF49" s="2534"/>
      <c r="AG49" s="2535"/>
      <c r="AH49" s="2535"/>
      <c r="AI49" s="2534"/>
      <c r="AJ49" s="2535"/>
      <c r="AK49" s="2535"/>
      <c r="AL49" s="1994"/>
      <c r="AM49" s="1831"/>
      <c r="AN49" s="1831"/>
      <c r="AO49" s="1831"/>
      <c r="AP49" s="1831"/>
      <c r="AQ49" s="1831"/>
      <c r="AR49" s="1831"/>
      <c r="AS49" s="1831"/>
      <c r="AT49" s="1831"/>
      <c r="AU49" s="1831"/>
      <c r="AV49" s="1831"/>
      <c r="AW49" s="1831"/>
      <c r="AX49" s="1831"/>
      <c r="AY49" s="1831"/>
      <c r="AZ49" s="1831"/>
      <c r="BA49" s="1831"/>
      <c r="BB49" s="1831"/>
      <c r="BC49" s="1831"/>
      <c r="BD49" s="1831"/>
      <c r="BE49" s="1831"/>
      <c r="BF49" s="1831"/>
      <c r="BG49" s="1644"/>
    </row>
    <row customHeight="1" ht="11.25">
      <c r="A50" s="1175" t="s">
        <v>1036</v>
      </c>
      <c r="B50" s="1175"/>
      <c r="C50" s="1175"/>
      <c r="D50" s="1169"/>
      <c r="E50" s="1179"/>
      <c r="F50" s="1837"/>
      <c r="G50" s="1838"/>
      <c r="H50" s="2543" t="s">
        <v>119</v>
      </c>
      <c r="I50" s="2544"/>
      <c r="J50" s="2513"/>
      <c r="K50" s="2545"/>
      <c r="L50" s="2135"/>
      <c r="M50" s="2136"/>
      <c r="N50" s="1184"/>
      <c r="O50" s="1185"/>
      <c r="P50" s="1177" t="s">
        <v>1083</v>
      </c>
      <c r="Q50" s="1185"/>
      <c r="R50" s="1185"/>
      <c r="S50" s="1185"/>
      <c r="T50" s="1185"/>
      <c r="U50" s="1185"/>
      <c r="V50" s="1185"/>
      <c r="W50" s="1185"/>
      <c r="X50" s="1185"/>
      <c r="Y50" s="1185"/>
      <c r="Z50" s="1185"/>
      <c r="AA50" s="1185"/>
      <c r="AB50" s="1185"/>
      <c r="AC50" s="1185"/>
      <c r="AD50" s="1185"/>
      <c r="AE50" s="1192"/>
      <c r="AF50" s="2534"/>
      <c r="AG50" s="2535"/>
      <c r="AH50" s="2535"/>
      <c r="AI50" s="2534"/>
      <c r="AJ50" s="2535"/>
      <c r="AK50" s="2535"/>
      <c r="AL50" s="1994"/>
      <c r="AM50" s="1831"/>
      <c r="AN50" s="1831"/>
      <c r="AO50" s="1831"/>
      <c r="AP50" s="1831"/>
      <c r="AQ50" s="1831"/>
      <c r="AR50" s="1831"/>
      <c r="AS50" s="1831"/>
      <c r="AT50" s="1831"/>
      <c r="AU50" s="1831"/>
      <c r="AV50" s="1831"/>
      <c r="AW50" s="1831"/>
      <c r="AX50" s="1831"/>
      <c r="AY50" s="1831"/>
      <c r="AZ50" s="1831"/>
      <c r="BA50" s="1831"/>
      <c r="BB50" s="1831"/>
      <c r="BC50" s="1831"/>
      <c r="BD50" s="1831"/>
      <c r="BE50" s="1831"/>
      <c r="BF50" s="1831"/>
      <c r="BG50" s="1644"/>
    </row>
    <row customHeight="1" ht="11.25">
      <c r="A51" s="1175" t="s">
        <v>1036</v>
      </c>
      <c r="B51" s="1175" t="s">
        <v>1068</v>
      </c>
      <c r="C51" s="1175"/>
      <c r="D51" s="1169"/>
      <c r="E51" s="1179"/>
      <c r="F51" s="1837"/>
      <c r="G51" s="692" t="s">
        <v>104</v>
      </c>
      <c r="H51" s="2543" t="s">
        <v>94</v>
      </c>
      <c r="I51" s="2544" t="s">
        <v>1069</v>
      </c>
      <c r="J51" s="2513" t="s">
        <v>1092</v>
      </c>
      <c r="K51" s="2545" t="s">
        <v>1104</v>
      </c>
      <c r="L51" s="2135" t="s">
        <v>19</v>
      </c>
      <c r="M51" s="2136"/>
      <c r="N51" s="1992"/>
      <c r="O51" s="1186" t="s">
        <v>391</v>
      </c>
      <c r="P51" s="1187"/>
      <c r="Q51" s="1187"/>
      <c r="R51" s="1187"/>
      <c r="S51" s="1187"/>
      <c r="T51" s="1187"/>
      <c r="U51" s="1187"/>
      <c r="V51" s="1187"/>
      <c r="W51" s="1187"/>
      <c r="X51" s="1187"/>
      <c r="Y51" s="1187"/>
      <c r="Z51" s="1187"/>
      <c r="AA51" s="1187"/>
      <c r="AB51" s="1187"/>
      <c r="AC51" s="1187"/>
      <c r="AD51" s="1187"/>
      <c r="AE51" s="1187"/>
      <c r="AF51" s="2534">
        <v>3</v>
      </c>
      <c r="AG51" s="2535" t="s">
        <v>1094</v>
      </c>
      <c r="AH51" s="2535" t="s">
        <v>1105</v>
      </c>
      <c r="AI51" s="2724"/>
      <c r="AJ51" s="2535" t="s">
        <v>1074</v>
      </c>
      <c r="AK51" s="2535" t="s">
        <v>1074</v>
      </c>
      <c r="AL51" s="1994"/>
      <c r="AM51" s="1831"/>
      <c r="AN51" s="1831"/>
      <c r="AO51" s="1831"/>
      <c r="AP51" s="1831"/>
      <c r="AQ51" s="1831"/>
      <c r="AR51" s="1831"/>
      <c r="AS51" s="1831"/>
      <c r="AT51" s="1831"/>
      <c r="AU51" s="1831"/>
      <c r="AV51" s="1831"/>
      <c r="AW51" s="1831"/>
      <c r="AX51" s="1831"/>
      <c r="AY51" s="1831"/>
      <c r="AZ51" s="1831"/>
      <c r="BA51" s="1831"/>
      <c r="BB51" s="1831"/>
      <c r="BC51" s="1831"/>
      <c r="BD51" s="1831"/>
      <c r="BE51" s="1831"/>
      <c r="BF51" s="1831"/>
      <c r="BG51" s="1644"/>
    </row>
    <row customHeight="1" ht="11.25">
      <c r="A52" s="1175" t="s">
        <v>1036</v>
      </c>
      <c r="B52" s="1175"/>
      <c r="C52" s="1175"/>
      <c r="D52" s="1169"/>
      <c r="E52" s="1179"/>
      <c r="F52" s="1837"/>
      <c r="G52" s="1838"/>
      <c r="H52" s="2543" t="s">
        <v>93</v>
      </c>
      <c r="I52" s="2544"/>
      <c r="J52" s="2513"/>
      <c r="K52" s="2545"/>
      <c r="L52" s="2135"/>
      <c r="M52" s="2136"/>
      <c r="N52" s="2536"/>
      <c r="O52" s="2537">
        <v>1</v>
      </c>
      <c r="P52" s="2538" t="s">
        <v>63</v>
      </c>
      <c r="Q52" s="2725" t="s">
        <v>1106</v>
      </c>
      <c r="R52" s="2726" t="s">
        <v>1076</v>
      </c>
      <c r="S52" s="2726" t="s">
        <v>100</v>
      </c>
      <c r="T52" s="2726" t="s">
        <v>100</v>
      </c>
      <c r="U52" s="2726" t="s">
        <v>101</v>
      </c>
      <c r="V52" s="2726" t="s">
        <v>1107</v>
      </c>
      <c r="W52" s="2726" t="s">
        <v>1108</v>
      </c>
      <c r="X52" s="2726" t="s">
        <v>1109</v>
      </c>
      <c r="Y52" s="2726" t="s">
        <v>1110</v>
      </c>
      <c r="Z52" s="1184"/>
      <c r="AA52" s="1185"/>
      <c r="AB52" s="1185"/>
      <c r="AC52" s="1189"/>
      <c r="AD52" s="1189"/>
      <c r="AE52" s="1190"/>
      <c r="AF52" s="2534"/>
      <c r="AG52" s="2535"/>
      <c r="AH52" s="2535"/>
      <c r="AI52" s="2724"/>
      <c r="AJ52" s="2535"/>
      <c r="AK52" s="2535"/>
      <c r="AL52" s="1994"/>
      <c r="AM52" s="1831"/>
      <c r="AN52" s="1831"/>
      <c r="AO52" s="1831"/>
      <c r="AP52" s="1831"/>
      <c r="AQ52" s="1831"/>
      <c r="AR52" s="1831"/>
      <c r="AS52" s="1831"/>
      <c r="AT52" s="1831"/>
      <c r="AU52" s="1831"/>
      <c r="AV52" s="1831"/>
      <c r="AW52" s="1831"/>
      <c r="AX52" s="1831"/>
      <c r="AY52" s="1831"/>
      <c r="AZ52" s="1831"/>
      <c r="BA52" s="1831"/>
      <c r="BB52" s="1831"/>
      <c r="BC52" s="1831"/>
      <c r="BD52" s="1831"/>
      <c r="BE52" s="1831"/>
      <c r="BF52" s="1831"/>
      <c r="BG52" s="1644"/>
    </row>
    <row customHeight="1" ht="11.25">
      <c r="A53" s="1175" t="s">
        <v>1036</v>
      </c>
      <c r="B53" s="1175"/>
      <c r="C53" s="1175"/>
      <c r="D53" s="1169"/>
      <c r="E53" s="1179"/>
      <c r="F53" s="1837"/>
      <c r="G53" s="1838"/>
      <c r="H53" s="2543" t="s">
        <v>93</v>
      </c>
      <c r="I53" s="2544"/>
      <c r="J53" s="2513"/>
      <c r="K53" s="2545"/>
      <c r="L53" s="2135"/>
      <c r="M53" s="2136"/>
      <c r="N53" s="2536"/>
      <c r="O53" s="2537"/>
      <c r="P53" s="2539"/>
      <c r="Q53" s="2725"/>
      <c r="R53" s="2541"/>
      <c r="S53" s="2542"/>
      <c r="T53" s="2541"/>
      <c r="U53" s="2541"/>
      <c r="V53" s="2541"/>
      <c r="W53" s="2541"/>
      <c r="X53" s="2541"/>
      <c r="Y53" s="2541"/>
      <c r="Z53" s="1836"/>
      <c r="AA53" s="1802">
        <v>1</v>
      </c>
      <c r="AB53" s="1188" t="s">
        <v>1081</v>
      </c>
      <c r="AC53" s="1178">
        <v>40254.43</v>
      </c>
      <c r="AD53" s="1188" t="str">
        <f>AB53</f>
        <v>      Амортизационные отчисления с выделением результатов переоценки основных средств и нематериальных активов</v>
      </c>
      <c r="AE53" s="1178">
        <v>18807.32</v>
      </c>
      <c r="AF53" s="2534"/>
      <c r="AG53" s="2535"/>
      <c r="AH53" s="2535"/>
      <c r="AI53" s="2724"/>
      <c r="AJ53" s="2535"/>
      <c r="AK53" s="2535"/>
      <c r="AL53" s="1994"/>
      <c r="AM53" s="1831"/>
      <c r="AN53" s="1831"/>
      <c r="AO53" s="1831"/>
      <c r="AP53" s="1831"/>
      <c r="AQ53" s="1831"/>
      <c r="AR53" s="1831"/>
      <c r="AS53" s="1831"/>
      <c r="AT53" s="1831"/>
      <c r="AU53" s="1831"/>
      <c r="AV53" s="1831"/>
      <c r="AW53" s="1831"/>
      <c r="AX53" s="1831"/>
      <c r="AY53" s="1831"/>
      <c r="AZ53" s="1831"/>
      <c r="BA53" s="1831"/>
      <c r="BB53" s="1831"/>
      <c r="BC53" s="1831"/>
      <c r="BD53" s="1831"/>
      <c r="BE53" s="1831"/>
      <c r="BF53" s="1831"/>
      <c r="BG53" s="1644"/>
    </row>
    <row customHeight="1" ht="11.25">
      <c r="A54" s="1175" t="s">
        <v>1036</v>
      </c>
      <c r="B54" s="1175"/>
      <c r="C54" s="1175"/>
      <c r="D54" s="1169"/>
      <c r="E54" s="1179"/>
      <c r="F54" s="1837"/>
      <c r="G54" s="1838"/>
      <c r="H54" s="2543" t="s">
        <v>93</v>
      </c>
      <c r="I54" s="2544"/>
      <c r="J54" s="2513"/>
      <c r="K54" s="2545"/>
      <c r="L54" s="2135"/>
      <c r="M54" s="2136"/>
      <c r="N54" s="2536"/>
      <c r="O54" s="2537"/>
      <c r="P54" s="2540"/>
      <c r="Q54" s="2725"/>
      <c r="R54" s="2541"/>
      <c r="S54" s="2542"/>
      <c r="T54" s="2541"/>
      <c r="U54" s="2541"/>
      <c r="V54" s="2541"/>
      <c r="W54" s="2541"/>
      <c r="X54" s="2541"/>
      <c r="Y54" s="2541"/>
      <c r="Z54" s="1184"/>
      <c r="AA54" s="1185"/>
      <c r="AB54" s="1250" t="s">
        <v>1082</v>
      </c>
      <c r="AC54" s="1189"/>
      <c r="AD54" s="1189"/>
      <c r="AE54" s="1191"/>
      <c r="AF54" s="2534"/>
      <c r="AG54" s="2535"/>
      <c r="AH54" s="2535"/>
      <c r="AI54" s="2724"/>
      <c r="AJ54" s="2535"/>
      <c r="AK54" s="2535"/>
      <c r="AL54" s="1994"/>
      <c r="AM54" s="1831"/>
      <c r="AN54" s="1831"/>
      <c r="AO54" s="1831"/>
      <c r="AP54" s="1831"/>
      <c r="AQ54" s="1831"/>
      <c r="AR54" s="1831"/>
      <c r="AS54" s="1831"/>
      <c r="AT54" s="1831"/>
      <c r="AU54" s="1831"/>
      <c r="AV54" s="1831"/>
      <c r="AW54" s="1831"/>
      <c r="AX54" s="1831"/>
      <c r="AY54" s="1831"/>
      <c r="AZ54" s="1831"/>
      <c r="BA54" s="1831"/>
      <c r="BB54" s="1831"/>
      <c r="BC54" s="1831"/>
      <c r="BD54" s="1831"/>
      <c r="BE54" s="1831"/>
      <c r="BF54" s="1831"/>
      <c r="BG54" s="1644"/>
    </row>
    <row customHeight="1" ht="11.25">
      <c r="A55" s="1175" t="s">
        <v>1036</v>
      </c>
      <c r="B55" s="1175"/>
      <c r="C55" s="1175"/>
      <c r="D55" s="1169"/>
      <c r="E55" s="1179"/>
      <c r="F55" s="1837"/>
      <c r="G55" s="1838"/>
      <c r="H55" s="2543" t="s">
        <v>93</v>
      </c>
      <c r="I55" s="2544"/>
      <c r="J55" s="2513"/>
      <c r="K55" s="2545"/>
      <c r="L55" s="2135"/>
      <c r="M55" s="2136"/>
      <c r="N55" s="1184"/>
      <c r="O55" s="1185"/>
      <c r="P55" s="1177" t="s">
        <v>1083</v>
      </c>
      <c r="Q55" s="1185"/>
      <c r="R55" s="1185"/>
      <c r="S55" s="1185"/>
      <c r="T55" s="1185"/>
      <c r="U55" s="1185"/>
      <c r="V55" s="1185"/>
      <c r="W55" s="1185"/>
      <c r="X55" s="1185"/>
      <c r="Y55" s="1185"/>
      <c r="Z55" s="1185"/>
      <c r="AA55" s="1185"/>
      <c r="AB55" s="1185"/>
      <c r="AC55" s="1185"/>
      <c r="AD55" s="1185"/>
      <c r="AE55" s="1192"/>
      <c r="AF55" s="2534"/>
      <c r="AG55" s="2535"/>
      <c r="AH55" s="2535"/>
      <c r="AI55" s="2724"/>
      <c r="AJ55" s="2535"/>
      <c r="AK55" s="2535"/>
      <c r="AL55" s="1994"/>
      <c r="AM55" s="1831"/>
      <c r="AN55" s="1831"/>
      <c r="AO55" s="1831"/>
      <c r="AP55" s="1831"/>
      <c r="AQ55" s="1831"/>
      <c r="AR55" s="1831"/>
      <c r="AS55" s="1831"/>
      <c r="AT55" s="1831"/>
      <c r="AU55" s="1831"/>
      <c r="AV55" s="1831"/>
      <c r="AW55" s="1831"/>
      <c r="AX55" s="1831"/>
      <c r="AY55" s="1831"/>
      <c r="AZ55" s="1831"/>
      <c r="BA55" s="1831"/>
      <c r="BB55" s="1831"/>
      <c r="BC55" s="1831"/>
      <c r="BD55" s="1831"/>
      <c r="BE55" s="1831"/>
      <c r="BF55" s="1831"/>
      <c r="BG55" s="1644"/>
    </row>
    <row customHeight="1" ht="11.25">
      <c r="A56" s="1175" t="s">
        <v>1036</v>
      </c>
      <c r="B56" s="1175" t="s">
        <v>1068</v>
      </c>
      <c r="C56" s="1175"/>
      <c r="D56" s="1169"/>
      <c r="E56" s="1179"/>
      <c r="F56" s="1837"/>
      <c r="G56" s="692" t="s">
        <v>104</v>
      </c>
      <c r="H56" s="2543" t="s">
        <v>120</v>
      </c>
      <c r="I56" s="2544" t="s">
        <v>1069</v>
      </c>
      <c r="J56" s="2513" t="s">
        <v>1092</v>
      </c>
      <c r="K56" s="2545" t="s">
        <v>1111</v>
      </c>
      <c r="L56" s="2135" t="s">
        <v>19</v>
      </c>
      <c r="M56" s="2136"/>
      <c r="N56" s="1992"/>
      <c r="O56" s="1186" t="s">
        <v>391</v>
      </c>
      <c r="P56" s="1187"/>
      <c r="Q56" s="1187"/>
      <c r="R56" s="1187"/>
      <c r="S56" s="1187"/>
      <c r="T56" s="1187"/>
      <c r="U56" s="1187"/>
      <c r="V56" s="1187"/>
      <c r="W56" s="1187"/>
      <c r="X56" s="1187"/>
      <c r="Y56" s="1187"/>
      <c r="Z56" s="1187"/>
      <c r="AA56" s="1187"/>
      <c r="AB56" s="1187"/>
      <c r="AC56" s="1187"/>
      <c r="AD56" s="1187"/>
      <c r="AE56" s="1187"/>
      <c r="AF56" s="2534">
        <v>1</v>
      </c>
      <c r="AG56" s="2535" t="s">
        <v>1094</v>
      </c>
      <c r="AH56" s="2535" t="s">
        <v>1085</v>
      </c>
      <c r="AI56" s="2534">
        <v>1</v>
      </c>
      <c r="AJ56" s="2535" t="s">
        <v>1095</v>
      </c>
      <c r="AK56" s="2535" t="s">
        <v>1085</v>
      </c>
      <c r="AL56" s="1994"/>
      <c r="AM56" s="1831"/>
      <c r="AN56" s="1831"/>
      <c r="AO56" s="1831"/>
      <c r="AP56" s="1831"/>
      <c r="AQ56" s="1831"/>
      <c r="AR56" s="1831"/>
      <c r="AS56" s="1831"/>
      <c r="AT56" s="1831"/>
      <c r="AU56" s="1831"/>
      <c r="AV56" s="1831"/>
      <c r="AW56" s="1831"/>
      <c r="AX56" s="1831"/>
      <c r="AY56" s="1831"/>
      <c r="AZ56" s="1831"/>
      <c r="BA56" s="1831"/>
      <c r="BB56" s="1831"/>
      <c r="BC56" s="1831"/>
      <c r="BD56" s="1831"/>
      <c r="BE56" s="1831"/>
      <c r="BF56" s="1831"/>
      <c r="BG56" s="1644"/>
    </row>
    <row customHeight="1" ht="11.25">
      <c r="A57" s="1175" t="s">
        <v>1036</v>
      </c>
      <c r="B57" s="1175"/>
      <c r="C57" s="1175"/>
      <c r="D57" s="1169"/>
      <c r="E57" s="1179"/>
      <c r="F57" s="1837"/>
      <c r="G57" s="1838"/>
      <c r="H57" s="2543" t="s">
        <v>94</v>
      </c>
      <c r="I57" s="2544"/>
      <c r="J57" s="2513"/>
      <c r="K57" s="2545"/>
      <c r="L57" s="2135"/>
      <c r="M57" s="2136"/>
      <c r="N57" s="2536"/>
      <c r="O57" s="2537">
        <v>1</v>
      </c>
      <c r="P57" s="2538" t="s">
        <v>63</v>
      </c>
      <c r="Q57" s="2725" t="s">
        <v>1112</v>
      </c>
      <c r="R57" s="2726" t="s">
        <v>1076</v>
      </c>
      <c r="S57" s="2726" t="s">
        <v>106</v>
      </c>
      <c r="T57" s="2726" t="s">
        <v>106</v>
      </c>
      <c r="U57" s="2726" t="s">
        <v>107</v>
      </c>
      <c r="V57" s="2726" t="s">
        <v>1077</v>
      </c>
      <c r="W57" s="2726" t="s">
        <v>1078</v>
      </c>
      <c r="X57" s="2726" t="s">
        <v>1113</v>
      </c>
      <c r="Y57" s="2726" t="s">
        <v>1114</v>
      </c>
      <c r="Z57" s="1184"/>
      <c r="AA57" s="1185"/>
      <c r="AB57" s="1185"/>
      <c r="AC57" s="1189"/>
      <c r="AD57" s="1189"/>
      <c r="AE57" s="1190"/>
      <c r="AF57" s="2534"/>
      <c r="AG57" s="2535"/>
      <c r="AH57" s="2535"/>
      <c r="AI57" s="2534"/>
      <c r="AJ57" s="2535"/>
      <c r="AK57" s="2535"/>
      <c r="AL57" s="1994"/>
      <c r="AM57" s="1831"/>
      <c r="AN57" s="1831"/>
      <c r="AO57" s="1831"/>
      <c r="AP57" s="1831"/>
      <c r="AQ57" s="1831"/>
      <c r="AR57" s="1831"/>
      <c r="AS57" s="1831"/>
      <c r="AT57" s="1831"/>
      <c r="AU57" s="1831"/>
      <c r="AV57" s="1831"/>
      <c r="AW57" s="1831"/>
      <c r="AX57" s="1831"/>
      <c r="AY57" s="1831"/>
      <c r="AZ57" s="1831"/>
      <c r="BA57" s="1831"/>
      <c r="BB57" s="1831"/>
      <c r="BC57" s="1831"/>
      <c r="BD57" s="1831"/>
      <c r="BE57" s="1831"/>
      <c r="BF57" s="1831"/>
      <c r="BG57" s="1644"/>
    </row>
    <row customHeight="1" ht="11.25">
      <c r="A58" s="1175" t="s">
        <v>1036</v>
      </c>
      <c r="B58" s="1175"/>
      <c r="C58" s="1175"/>
      <c r="D58" s="1169"/>
      <c r="E58" s="1179"/>
      <c r="F58" s="1837"/>
      <c r="G58" s="1838"/>
      <c r="H58" s="2543" t="s">
        <v>94</v>
      </c>
      <c r="I58" s="2544"/>
      <c r="J58" s="2513"/>
      <c r="K58" s="2545"/>
      <c r="L58" s="2135"/>
      <c r="M58" s="2136"/>
      <c r="N58" s="2536"/>
      <c r="O58" s="2537"/>
      <c r="P58" s="2539"/>
      <c r="Q58" s="2725"/>
      <c r="R58" s="2541"/>
      <c r="S58" s="2542"/>
      <c r="T58" s="2541"/>
      <c r="U58" s="2541"/>
      <c r="V58" s="2541"/>
      <c r="W58" s="2541"/>
      <c r="X58" s="2541"/>
      <c r="Y58" s="2541"/>
      <c r="Z58" s="1836"/>
      <c r="AA58" s="1802">
        <v>1</v>
      </c>
      <c r="AB58" s="1188" t="s">
        <v>1081</v>
      </c>
      <c r="AC58" s="1178">
        <v>986.12</v>
      </c>
      <c r="AD58" s="1188" t="str">
        <f>AB58</f>
        <v>      Амортизационные отчисления с выделением результатов переоценки основных средств и нематериальных активов</v>
      </c>
      <c r="AE58" s="1178">
        <v>986.12</v>
      </c>
      <c r="AF58" s="2534"/>
      <c r="AG58" s="2535"/>
      <c r="AH58" s="2535"/>
      <c r="AI58" s="2534"/>
      <c r="AJ58" s="2535"/>
      <c r="AK58" s="2535"/>
      <c r="AL58" s="1994"/>
      <c r="AM58" s="1831"/>
      <c r="AN58" s="1831"/>
      <c r="AO58" s="1831"/>
      <c r="AP58" s="1831"/>
      <c r="AQ58" s="1831"/>
      <c r="AR58" s="1831"/>
      <c r="AS58" s="1831"/>
      <c r="AT58" s="1831"/>
      <c r="AU58" s="1831"/>
      <c r="AV58" s="1831"/>
      <c r="AW58" s="1831"/>
      <c r="AX58" s="1831"/>
      <c r="AY58" s="1831"/>
      <c r="AZ58" s="1831"/>
      <c r="BA58" s="1831"/>
      <c r="BB58" s="1831"/>
      <c r="BC58" s="1831"/>
      <c r="BD58" s="1831"/>
      <c r="BE58" s="1831"/>
      <c r="BF58" s="1831"/>
      <c r="BG58" s="1644"/>
    </row>
    <row customHeight="1" ht="11.25">
      <c r="A59" s="1175" t="s">
        <v>1036</v>
      </c>
      <c r="B59" s="1175"/>
      <c r="C59" s="1175"/>
      <c r="D59" s="1169"/>
      <c r="E59" s="1179"/>
      <c r="F59" s="1837"/>
      <c r="G59" s="1838"/>
      <c r="H59" s="2543" t="s">
        <v>94</v>
      </c>
      <c r="I59" s="2544"/>
      <c r="J59" s="2513"/>
      <c r="K59" s="2545"/>
      <c r="L59" s="2135"/>
      <c r="M59" s="2136"/>
      <c r="N59" s="2536"/>
      <c r="O59" s="2537"/>
      <c r="P59" s="2540"/>
      <c r="Q59" s="2725"/>
      <c r="R59" s="2541"/>
      <c r="S59" s="2542"/>
      <c r="T59" s="2541"/>
      <c r="U59" s="2541"/>
      <c r="V59" s="2541"/>
      <c r="W59" s="2541"/>
      <c r="X59" s="2541"/>
      <c r="Y59" s="2541"/>
      <c r="Z59" s="1184"/>
      <c r="AA59" s="1185"/>
      <c r="AB59" s="1250" t="s">
        <v>1082</v>
      </c>
      <c r="AC59" s="1189"/>
      <c r="AD59" s="1189"/>
      <c r="AE59" s="1191"/>
      <c r="AF59" s="2534"/>
      <c r="AG59" s="2535"/>
      <c r="AH59" s="2535"/>
      <c r="AI59" s="2534"/>
      <c r="AJ59" s="2535"/>
      <c r="AK59" s="2535"/>
      <c r="AL59" s="1994"/>
      <c r="AM59" s="1831"/>
      <c r="AN59" s="1831"/>
      <c r="AO59" s="1831"/>
      <c r="AP59" s="1831"/>
      <c r="AQ59" s="1831"/>
      <c r="AR59" s="1831"/>
      <c r="AS59" s="1831"/>
      <c r="AT59" s="1831"/>
      <c r="AU59" s="1831"/>
      <c r="AV59" s="1831"/>
      <c r="AW59" s="1831"/>
      <c r="AX59" s="1831"/>
      <c r="AY59" s="1831"/>
      <c r="AZ59" s="1831"/>
      <c r="BA59" s="1831"/>
      <c r="BB59" s="1831"/>
      <c r="BC59" s="1831"/>
      <c r="BD59" s="1831"/>
      <c r="BE59" s="1831"/>
      <c r="BF59" s="1831"/>
      <c r="BG59" s="1644"/>
    </row>
    <row customHeight="1" ht="11.25">
      <c r="A60" s="1175" t="s">
        <v>1036</v>
      </c>
      <c r="B60" s="1175"/>
      <c r="C60" s="1175"/>
      <c r="D60" s="1169"/>
      <c r="E60" s="1179"/>
      <c r="F60" s="1837"/>
      <c r="G60" s="1838"/>
      <c r="H60" s="2543" t="s">
        <v>94</v>
      </c>
      <c r="I60" s="2544"/>
      <c r="J60" s="2513"/>
      <c r="K60" s="2545"/>
      <c r="L60" s="2135"/>
      <c r="M60" s="2136"/>
      <c r="N60" s="1184"/>
      <c r="O60" s="1185"/>
      <c r="P60" s="1177" t="s">
        <v>1083</v>
      </c>
      <c r="Q60" s="1185"/>
      <c r="R60" s="1185"/>
      <c r="S60" s="1185"/>
      <c r="T60" s="1185"/>
      <c r="U60" s="1185"/>
      <c r="V60" s="1185"/>
      <c r="W60" s="1185"/>
      <c r="X60" s="1185"/>
      <c r="Y60" s="1185"/>
      <c r="Z60" s="1185"/>
      <c r="AA60" s="1185"/>
      <c r="AB60" s="1185"/>
      <c r="AC60" s="1185"/>
      <c r="AD60" s="1185"/>
      <c r="AE60" s="1192"/>
      <c r="AF60" s="2534"/>
      <c r="AG60" s="2535"/>
      <c r="AH60" s="2535"/>
      <c r="AI60" s="2534"/>
      <c r="AJ60" s="2535"/>
      <c r="AK60" s="2535"/>
      <c r="AL60" s="1994"/>
      <c r="AM60" s="1831"/>
      <c r="AN60" s="1831"/>
      <c r="AO60" s="1831"/>
      <c r="AP60" s="1831"/>
      <c r="AQ60" s="1831"/>
      <c r="AR60" s="1831"/>
      <c r="AS60" s="1831"/>
      <c r="AT60" s="1831"/>
      <c r="AU60" s="1831"/>
      <c r="AV60" s="1831"/>
      <c r="AW60" s="1831"/>
      <c r="AX60" s="1831"/>
      <c r="AY60" s="1831"/>
      <c r="AZ60" s="1831"/>
      <c r="BA60" s="1831"/>
      <c r="BB60" s="1831"/>
      <c r="BC60" s="1831"/>
      <c r="BD60" s="1831"/>
      <c r="BE60" s="1831"/>
      <c r="BF60" s="1831"/>
      <c r="BG60" s="1644"/>
    </row>
    <row customHeight="1" ht="11.25">
      <c r="A61" s="1175" t="s">
        <v>1036</v>
      </c>
      <c r="B61" s="1175" t="s">
        <v>1068</v>
      </c>
      <c r="C61" s="1175"/>
      <c r="D61" s="1169"/>
      <c r="E61" s="1179"/>
      <c r="F61" s="1837"/>
      <c r="G61" s="692" t="s">
        <v>104</v>
      </c>
      <c r="H61" s="2543" t="s">
        <v>165</v>
      </c>
      <c r="I61" s="2544" t="s">
        <v>1069</v>
      </c>
      <c r="J61" s="2513" t="s">
        <v>1092</v>
      </c>
      <c r="K61" s="2545" t="s">
        <v>1115</v>
      </c>
      <c r="L61" s="2135" t="s">
        <v>19</v>
      </c>
      <c r="M61" s="2136"/>
      <c r="N61" s="1992"/>
      <c r="O61" s="1186" t="s">
        <v>391</v>
      </c>
      <c r="P61" s="1187"/>
      <c r="Q61" s="1187"/>
      <c r="R61" s="1187"/>
      <c r="S61" s="1187"/>
      <c r="T61" s="1187"/>
      <c r="U61" s="1187"/>
      <c r="V61" s="1187"/>
      <c r="W61" s="1187"/>
      <c r="X61" s="1187"/>
      <c r="Y61" s="1187"/>
      <c r="Z61" s="1187"/>
      <c r="AA61" s="1187"/>
      <c r="AB61" s="1187"/>
      <c r="AC61" s="1187"/>
      <c r="AD61" s="1187"/>
      <c r="AE61" s="1187"/>
      <c r="AF61" s="2534">
        <v>1</v>
      </c>
      <c r="AG61" s="2535" t="s">
        <v>1094</v>
      </c>
      <c r="AH61" s="2535" t="s">
        <v>1085</v>
      </c>
      <c r="AI61" s="2534">
        <v>1</v>
      </c>
      <c r="AJ61" s="2535" t="s">
        <v>1095</v>
      </c>
      <c r="AK61" s="2535" t="s">
        <v>1085</v>
      </c>
      <c r="AL61" s="1994"/>
      <c r="AM61" s="1831"/>
      <c r="AN61" s="1831"/>
      <c r="AO61" s="1831"/>
      <c r="AP61" s="1831"/>
      <c r="AQ61" s="1831"/>
      <c r="AR61" s="1831"/>
      <c r="AS61" s="1831"/>
      <c r="AT61" s="1831"/>
      <c r="AU61" s="1831"/>
      <c r="AV61" s="1831"/>
      <c r="AW61" s="1831"/>
      <c r="AX61" s="1831"/>
      <c r="AY61" s="1831"/>
      <c r="AZ61" s="1831"/>
      <c r="BA61" s="1831"/>
      <c r="BB61" s="1831"/>
      <c r="BC61" s="1831"/>
      <c r="BD61" s="1831"/>
      <c r="BE61" s="1831"/>
      <c r="BF61" s="1831"/>
      <c r="BG61" s="1644"/>
    </row>
    <row customHeight="1" ht="11.25">
      <c r="A62" s="1175" t="s">
        <v>1036</v>
      </c>
      <c r="B62" s="1175"/>
      <c r="C62" s="1175"/>
      <c r="D62" s="1169"/>
      <c r="E62" s="1179"/>
      <c r="F62" s="1837"/>
      <c r="G62" s="1838"/>
      <c r="H62" s="2543" t="s">
        <v>120</v>
      </c>
      <c r="I62" s="2544"/>
      <c r="J62" s="2513"/>
      <c r="K62" s="2545"/>
      <c r="L62" s="2135"/>
      <c r="M62" s="2136"/>
      <c r="N62" s="2536"/>
      <c r="O62" s="2537">
        <v>1</v>
      </c>
      <c r="P62" s="2538" t="s">
        <v>63</v>
      </c>
      <c r="Q62" s="2725" t="s">
        <v>1106</v>
      </c>
      <c r="R62" s="2726" t="s">
        <v>1076</v>
      </c>
      <c r="S62" s="2726" t="s">
        <v>100</v>
      </c>
      <c r="T62" s="2726" t="s">
        <v>100</v>
      </c>
      <c r="U62" s="2726" t="s">
        <v>101</v>
      </c>
      <c r="V62" s="2726" t="s">
        <v>1107</v>
      </c>
      <c r="W62" s="2726" t="s">
        <v>1108</v>
      </c>
      <c r="X62" s="2726" t="s">
        <v>1109</v>
      </c>
      <c r="Y62" s="2726" t="s">
        <v>1110</v>
      </c>
      <c r="Z62" s="1184"/>
      <c r="AA62" s="1185"/>
      <c r="AB62" s="1185"/>
      <c r="AC62" s="1189"/>
      <c r="AD62" s="1189"/>
      <c r="AE62" s="1190"/>
      <c r="AF62" s="2534"/>
      <c r="AG62" s="2535"/>
      <c r="AH62" s="2535"/>
      <c r="AI62" s="2534"/>
      <c r="AJ62" s="2535"/>
      <c r="AK62" s="2535"/>
      <c r="AL62" s="1994"/>
      <c r="AM62" s="1831"/>
      <c r="AN62" s="1831"/>
      <c r="AO62" s="1831"/>
      <c r="AP62" s="1831"/>
      <c r="AQ62" s="1831"/>
      <c r="AR62" s="1831"/>
      <c r="AS62" s="1831"/>
      <c r="AT62" s="1831"/>
      <c r="AU62" s="1831"/>
      <c r="AV62" s="1831"/>
      <c r="AW62" s="1831"/>
      <c r="AX62" s="1831"/>
      <c r="AY62" s="1831"/>
      <c r="AZ62" s="1831"/>
      <c r="BA62" s="1831"/>
      <c r="BB62" s="1831"/>
      <c r="BC62" s="1831"/>
      <c r="BD62" s="1831"/>
      <c r="BE62" s="1831"/>
      <c r="BF62" s="1831"/>
      <c r="BG62" s="1644"/>
    </row>
    <row customHeight="1" ht="11.25">
      <c r="A63" s="1175" t="s">
        <v>1036</v>
      </c>
      <c r="B63" s="1175"/>
      <c r="C63" s="1175"/>
      <c r="D63" s="1169"/>
      <c r="E63" s="1179"/>
      <c r="F63" s="1837"/>
      <c r="G63" s="1838"/>
      <c r="H63" s="2543" t="s">
        <v>120</v>
      </c>
      <c r="I63" s="2544"/>
      <c r="J63" s="2513"/>
      <c r="K63" s="2545"/>
      <c r="L63" s="2135"/>
      <c r="M63" s="2136"/>
      <c r="N63" s="2536"/>
      <c r="O63" s="2537"/>
      <c r="P63" s="2539"/>
      <c r="Q63" s="2725"/>
      <c r="R63" s="2541"/>
      <c r="S63" s="2542"/>
      <c r="T63" s="2541"/>
      <c r="U63" s="2541"/>
      <c r="V63" s="2541"/>
      <c r="W63" s="2541"/>
      <c r="X63" s="2541"/>
      <c r="Y63" s="2541"/>
      <c r="Z63" s="1836"/>
      <c r="AA63" s="1802">
        <v>1</v>
      </c>
      <c r="AB63" s="1188" t="s">
        <v>1081</v>
      </c>
      <c r="AC63" s="1178">
        <v>1875.31</v>
      </c>
      <c r="AD63" s="1188" t="str">
        <f>AB63</f>
        <v>      Амортизационные отчисления с выделением результатов переоценки основных средств и нематериальных активов</v>
      </c>
      <c r="AE63" s="1178">
        <v>1875.31</v>
      </c>
      <c r="AF63" s="2534"/>
      <c r="AG63" s="2535"/>
      <c r="AH63" s="2535"/>
      <c r="AI63" s="2534"/>
      <c r="AJ63" s="2535"/>
      <c r="AK63" s="2535"/>
      <c r="AL63" s="1994"/>
      <c r="AM63" s="1831"/>
      <c r="AN63" s="1831"/>
      <c r="AO63" s="1831"/>
      <c r="AP63" s="1831"/>
      <c r="AQ63" s="1831"/>
      <c r="AR63" s="1831"/>
      <c r="AS63" s="1831"/>
      <c r="AT63" s="1831"/>
      <c r="AU63" s="1831"/>
      <c r="AV63" s="1831"/>
      <c r="AW63" s="1831"/>
      <c r="AX63" s="1831"/>
      <c r="AY63" s="1831"/>
      <c r="AZ63" s="1831"/>
      <c r="BA63" s="1831"/>
      <c r="BB63" s="1831"/>
      <c r="BC63" s="1831"/>
      <c r="BD63" s="1831"/>
      <c r="BE63" s="1831"/>
      <c r="BF63" s="1831"/>
      <c r="BG63" s="1644"/>
    </row>
    <row customHeight="1" ht="11.25">
      <c r="A64" s="1175" t="s">
        <v>1036</v>
      </c>
      <c r="B64" s="1175"/>
      <c r="C64" s="1175"/>
      <c r="D64" s="1169"/>
      <c r="E64" s="1179"/>
      <c r="F64" s="1837"/>
      <c r="G64" s="1838"/>
      <c r="H64" s="2543" t="s">
        <v>120</v>
      </c>
      <c r="I64" s="2544"/>
      <c r="J64" s="2513"/>
      <c r="K64" s="2545"/>
      <c r="L64" s="2135"/>
      <c r="M64" s="2136"/>
      <c r="N64" s="2536"/>
      <c r="O64" s="2537"/>
      <c r="P64" s="2540"/>
      <c r="Q64" s="2725"/>
      <c r="R64" s="2541"/>
      <c r="S64" s="2542"/>
      <c r="T64" s="2541"/>
      <c r="U64" s="2541"/>
      <c r="V64" s="2541"/>
      <c r="W64" s="2541"/>
      <c r="X64" s="2541"/>
      <c r="Y64" s="2541"/>
      <c r="Z64" s="1184"/>
      <c r="AA64" s="1185"/>
      <c r="AB64" s="1250" t="s">
        <v>1082</v>
      </c>
      <c r="AC64" s="1189"/>
      <c r="AD64" s="1189"/>
      <c r="AE64" s="1191"/>
      <c r="AF64" s="2534"/>
      <c r="AG64" s="2535"/>
      <c r="AH64" s="2535"/>
      <c r="AI64" s="2534"/>
      <c r="AJ64" s="2535"/>
      <c r="AK64" s="2535"/>
      <c r="AL64" s="1994"/>
      <c r="AM64" s="1831"/>
      <c r="AN64" s="1831"/>
      <c r="AO64" s="1831"/>
      <c r="AP64" s="1831"/>
      <c r="AQ64" s="1831"/>
      <c r="AR64" s="1831"/>
      <c r="AS64" s="1831"/>
      <c r="AT64" s="1831"/>
      <c r="AU64" s="1831"/>
      <c r="AV64" s="1831"/>
      <c r="AW64" s="1831"/>
      <c r="AX64" s="1831"/>
      <c r="AY64" s="1831"/>
      <c r="AZ64" s="1831"/>
      <c r="BA64" s="1831"/>
      <c r="BB64" s="1831"/>
      <c r="BC64" s="1831"/>
      <c r="BD64" s="1831"/>
      <c r="BE64" s="1831"/>
      <c r="BF64" s="1831"/>
      <c r="BG64" s="1644"/>
    </row>
    <row customHeight="1" ht="11.25">
      <c r="A65" s="1175" t="s">
        <v>1036</v>
      </c>
      <c r="B65" s="1175"/>
      <c r="C65" s="1175"/>
      <c r="D65" s="1169"/>
      <c r="E65" s="1179"/>
      <c r="F65" s="1837"/>
      <c r="G65" s="1838"/>
      <c r="H65" s="2543" t="s">
        <v>120</v>
      </c>
      <c r="I65" s="2544"/>
      <c r="J65" s="2513"/>
      <c r="K65" s="2545"/>
      <c r="L65" s="2135"/>
      <c r="M65" s="2136"/>
      <c r="N65" s="1184"/>
      <c r="O65" s="1185"/>
      <c r="P65" s="1177" t="s">
        <v>1083</v>
      </c>
      <c r="Q65" s="1185"/>
      <c r="R65" s="1185"/>
      <c r="S65" s="1185"/>
      <c r="T65" s="1185"/>
      <c r="U65" s="1185"/>
      <c r="V65" s="1185"/>
      <c r="W65" s="1185"/>
      <c r="X65" s="1185"/>
      <c r="Y65" s="1185"/>
      <c r="Z65" s="1185"/>
      <c r="AA65" s="1185"/>
      <c r="AB65" s="1185"/>
      <c r="AC65" s="1185"/>
      <c r="AD65" s="1185"/>
      <c r="AE65" s="1192"/>
      <c r="AF65" s="2534"/>
      <c r="AG65" s="2535"/>
      <c r="AH65" s="2535"/>
      <c r="AI65" s="2534"/>
      <c r="AJ65" s="2535"/>
      <c r="AK65" s="2535"/>
      <c r="AL65" s="1994"/>
      <c r="AM65" s="1831"/>
      <c r="AN65" s="1831"/>
      <c r="AO65" s="1831"/>
      <c r="AP65" s="1831"/>
      <c r="AQ65" s="1831"/>
      <c r="AR65" s="1831"/>
      <c r="AS65" s="1831"/>
      <c r="AT65" s="1831"/>
      <c r="AU65" s="1831"/>
      <c r="AV65" s="1831"/>
      <c r="AW65" s="1831"/>
      <c r="AX65" s="1831"/>
      <c r="AY65" s="1831"/>
      <c r="AZ65" s="1831"/>
      <c r="BA65" s="1831"/>
      <c r="BB65" s="1831"/>
      <c r="BC65" s="1831"/>
      <c r="BD65" s="1831"/>
      <c r="BE65" s="1831"/>
      <c r="BF65" s="1831"/>
      <c r="BG65" s="1644"/>
    </row>
    <row customHeight="1" ht="11.25">
      <c r="A66" s="1175" t="s">
        <v>1036</v>
      </c>
      <c r="B66" s="1175" t="s">
        <v>1068</v>
      </c>
      <c r="C66" s="1175"/>
      <c r="D66" s="1169"/>
      <c r="E66" s="1179"/>
      <c r="F66" s="1837"/>
      <c r="G66" s="692" t="s">
        <v>104</v>
      </c>
      <c r="H66" s="2543" t="s">
        <v>166</v>
      </c>
      <c r="I66" s="2544" t="s">
        <v>1069</v>
      </c>
      <c r="J66" s="2513" t="s">
        <v>1092</v>
      </c>
      <c r="K66" s="2545" t="s">
        <v>1116</v>
      </c>
      <c r="L66" s="2135" t="s">
        <v>19</v>
      </c>
      <c r="M66" s="2136"/>
      <c r="N66" s="1992"/>
      <c r="O66" s="1186" t="s">
        <v>391</v>
      </c>
      <c r="P66" s="1187"/>
      <c r="Q66" s="1187"/>
      <c r="R66" s="1187"/>
      <c r="S66" s="1187"/>
      <c r="T66" s="1187"/>
      <c r="U66" s="1187"/>
      <c r="V66" s="1187"/>
      <c r="W66" s="1187"/>
      <c r="X66" s="1187"/>
      <c r="Y66" s="1187"/>
      <c r="Z66" s="1187"/>
      <c r="AA66" s="1187"/>
      <c r="AB66" s="1187"/>
      <c r="AC66" s="1187"/>
      <c r="AD66" s="1187"/>
      <c r="AE66" s="1187"/>
      <c r="AF66" s="2534">
        <v>2</v>
      </c>
      <c r="AG66" s="2535" t="s">
        <v>1094</v>
      </c>
      <c r="AH66" s="2535" t="s">
        <v>1073</v>
      </c>
      <c r="AI66" s="2906">
        <v>1</v>
      </c>
      <c r="AJ66" s="2535" t="s">
        <v>1072</v>
      </c>
      <c r="AK66" s="2535" t="s">
        <v>1085</v>
      </c>
      <c r="AL66" s="1994"/>
      <c r="AM66" s="1831"/>
      <c r="AN66" s="1831"/>
      <c r="AO66" s="1831"/>
      <c r="AP66" s="1831"/>
      <c r="AQ66" s="1831"/>
      <c r="AR66" s="1831"/>
      <c r="AS66" s="1831"/>
      <c r="AT66" s="1831"/>
      <c r="AU66" s="1831"/>
      <c r="AV66" s="1831"/>
      <c r="AW66" s="1831"/>
      <c r="AX66" s="1831"/>
      <c r="AY66" s="1831"/>
      <c r="AZ66" s="1831"/>
      <c r="BA66" s="1831"/>
      <c r="BB66" s="1831"/>
      <c r="BC66" s="1831"/>
      <c r="BD66" s="1831"/>
      <c r="BE66" s="1831"/>
      <c r="BF66" s="1831"/>
      <c r="BG66" s="1644"/>
    </row>
    <row customHeight="1" ht="11.25">
      <c r="A67" s="1175" t="s">
        <v>1036</v>
      </c>
      <c r="B67" s="1175"/>
      <c r="C67" s="1175"/>
      <c r="D67" s="1169"/>
      <c r="E67" s="1179"/>
      <c r="F67" s="1837"/>
      <c r="G67" s="1838"/>
      <c r="H67" s="2543" t="s">
        <v>165</v>
      </c>
      <c r="I67" s="2544"/>
      <c r="J67" s="2513"/>
      <c r="K67" s="2545"/>
      <c r="L67" s="2135"/>
      <c r="M67" s="2136"/>
      <c r="N67" s="2536"/>
      <c r="O67" s="2537">
        <v>1</v>
      </c>
      <c r="P67" s="2538" t="s">
        <v>63</v>
      </c>
      <c r="Q67" s="2725" t="s">
        <v>1101</v>
      </c>
      <c r="R67" s="2726" t="s">
        <v>1076</v>
      </c>
      <c r="S67" s="2726" t="s">
        <v>106</v>
      </c>
      <c r="T67" s="2726" t="s">
        <v>106</v>
      </c>
      <c r="U67" s="2726" t="s">
        <v>107</v>
      </c>
      <c r="V67" s="2726" t="s">
        <v>1077</v>
      </c>
      <c r="W67" s="2726" t="s">
        <v>1078</v>
      </c>
      <c r="X67" s="2726" t="s">
        <v>1102</v>
      </c>
      <c r="Y67" s="2726" t="s">
        <v>1103</v>
      </c>
      <c r="Z67" s="1184"/>
      <c r="AA67" s="1185"/>
      <c r="AB67" s="1185"/>
      <c r="AC67" s="1189"/>
      <c r="AD67" s="1189"/>
      <c r="AE67" s="1190"/>
      <c r="AF67" s="2534"/>
      <c r="AG67" s="2535"/>
      <c r="AH67" s="2535"/>
      <c r="AI67" s="2906"/>
      <c r="AJ67" s="2535"/>
      <c r="AK67" s="2535"/>
      <c r="AL67" s="1994"/>
      <c r="AM67" s="1831"/>
      <c r="AN67" s="1831"/>
      <c r="AO67" s="1831"/>
      <c r="AP67" s="1831"/>
      <c r="AQ67" s="1831"/>
      <c r="AR67" s="1831"/>
      <c r="AS67" s="1831"/>
      <c r="AT67" s="1831"/>
      <c r="AU67" s="1831"/>
      <c r="AV67" s="1831"/>
      <c r="AW67" s="1831"/>
      <c r="AX67" s="1831"/>
      <c r="AY67" s="1831"/>
      <c r="AZ67" s="1831"/>
      <c r="BA67" s="1831"/>
      <c r="BB67" s="1831"/>
      <c r="BC67" s="1831"/>
      <c r="BD67" s="1831"/>
      <c r="BE67" s="1831"/>
      <c r="BF67" s="1831"/>
      <c r="BG67" s="1644"/>
    </row>
    <row customHeight="1" ht="11.25">
      <c r="A68" s="1175" t="s">
        <v>1036</v>
      </c>
      <c r="B68" s="1175"/>
      <c r="C68" s="1175"/>
      <c r="D68" s="1169"/>
      <c r="E68" s="1179"/>
      <c r="F68" s="1837"/>
      <c r="G68" s="1838"/>
      <c r="H68" s="2543" t="s">
        <v>165</v>
      </c>
      <c r="I68" s="2544"/>
      <c r="J68" s="2513"/>
      <c r="K68" s="2545"/>
      <c r="L68" s="2135"/>
      <c r="M68" s="2136"/>
      <c r="N68" s="2536"/>
      <c r="O68" s="2537"/>
      <c r="P68" s="2539"/>
      <c r="Q68" s="2725"/>
      <c r="R68" s="2541"/>
      <c r="S68" s="2542"/>
      <c r="T68" s="2541"/>
      <c r="U68" s="2541"/>
      <c r="V68" s="2541"/>
      <c r="W68" s="2541"/>
      <c r="X68" s="2541"/>
      <c r="Y68" s="2541"/>
      <c r="Z68" s="1836"/>
      <c r="AA68" s="1802">
        <v>1</v>
      </c>
      <c r="AB68" s="1188" t="s">
        <v>1081</v>
      </c>
      <c r="AC68" s="1178">
        <v>17758.71</v>
      </c>
      <c r="AD68" s="1188" t="str">
        <f>AB68</f>
        <v>      Амортизационные отчисления с выделением результатов переоценки основных средств и нематериальных активов</v>
      </c>
      <c r="AE68" s="1178">
        <v>18562.57</v>
      </c>
      <c r="AF68" s="2534"/>
      <c r="AG68" s="2535"/>
      <c r="AH68" s="2535"/>
      <c r="AI68" s="2906"/>
      <c r="AJ68" s="2535"/>
      <c r="AK68" s="2535"/>
      <c r="AL68" s="1994"/>
      <c r="AM68" s="1831"/>
      <c r="AN68" s="1831"/>
      <c r="AO68" s="1831"/>
      <c r="AP68" s="1831"/>
      <c r="AQ68" s="1831"/>
      <c r="AR68" s="1831"/>
      <c r="AS68" s="1831"/>
      <c r="AT68" s="1831"/>
      <c r="AU68" s="1831"/>
      <c r="AV68" s="1831"/>
      <c r="AW68" s="1831"/>
      <c r="AX68" s="1831"/>
      <c r="AY68" s="1831"/>
      <c r="AZ68" s="1831"/>
      <c r="BA68" s="1831"/>
      <c r="BB68" s="1831"/>
      <c r="BC68" s="1831"/>
      <c r="BD68" s="1831"/>
      <c r="BE68" s="1831"/>
      <c r="BF68" s="1831"/>
      <c r="BG68" s="1644"/>
    </row>
    <row customHeight="1" ht="11.25">
      <c r="A69" s="1175" t="s">
        <v>1036</v>
      </c>
      <c r="B69" s="1175"/>
      <c r="C69" s="1175"/>
      <c r="D69" s="1169"/>
      <c r="E69" s="1179"/>
      <c r="F69" s="1837"/>
      <c r="G69" s="1838"/>
      <c r="H69" s="2543" t="s">
        <v>165</v>
      </c>
      <c r="I69" s="2544"/>
      <c r="J69" s="2513"/>
      <c r="K69" s="2545"/>
      <c r="L69" s="2135"/>
      <c r="M69" s="2136"/>
      <c r="N69" s="2536"/>
      <c r="O69" s="2537"/>
      <c r="P69" s="2540"/>
      <c r="Q69" s="2725"/>
      <c r="R69" s="2541"/>
      <c r="S69" s="2542"/>
      <c r="T69" s="2541"/>
      <c r="U69" s="2541"/>
      <c r="V69" s="2541"/>
      <c r="W69" s="2541"/>
      <c r="X69" s="2541"/>
      <c r="Y69" s="2541"/>
      <c r="Z69" s="1184"/>
      <c r="AA69" s="1185"/>
      <c r="AB69" s="1250" t="s">
        <v>1082</v>
      </c>
      <c r="AC69" s="1189"/>
      <c r="AD69" s="1189"/>
      <c r="AE69" s="1191"/>
      <c r="AF69" s="2534"/>
      <c r="AG69" s="2535"/>
      <c r="AH69" s="2535"/>
      <c r="AI69" s="2906"/>
      <c r="AJ69" s="2535"/>
      <c r="AK69" s="2535"/>
      <c r="AL69" s="1994"/>
      <c r="AM69" s="1831"/>
      <c r="AN69" s="1831"/>
      <c r="AO69" s="1831"/>
      <c r="AP69" s="1831"/>
      <c r="AQ69" s="1831"/>
      <c r="AR69" s="1831"/>
      <c r="AS69" s="1831"/>
      <c r="AT69" s="1831"/>
      <c r="AU69" s="1831"/>
      <c r="AV69" s="1831"/>
      <c r="AW69" s="1831"/>
      <c r="AX69" s="1831"/>
      <c r="AY69" s="1831"/>
      <c r="AZ69" s="1831"/>
      <c r="BA69" s="1831"/>
      <c r="BB69" s="1831"/>
      <c r="BC69" s="1831"/>
      <c r="BD69" s="1831"/>
      <c r="BE69" s="1831"/>
      <c r="BF69" s="1831"/>
      <c r="BG69" s="1644"/>
    </row>
    <row customHeight="1" ht="11.25">
      <c r="A70" s="1175" t="s">
        <v>1036</v>
      </c>
      <c r="B70" s="1175"/>
      <c r="C70" s="1175"/>
      <c r="D70" s="1169"/>
      <c r="E70" s="1179"/>
      <c r="F70" s="1837"/>
      <c r="G70" s="1838"/>
      <c r="H70" s="2543" t="s">
        <v>165</v>
      </c>
      <c r="I70" s="2544"/>
      <c r="J70" s="2513"/>
      <c r="K70" s="2545"/>
      <c r="L70" s="2135"/>
      <c r="M70" s="2136"/>
      <c r="N70" s="1184"/>
      <c r="O70" s="1185"/>
      <c r="P70" s="1177" t="s">
        <v>1083</v>
      </c>
      <c r="Q70" s="1185"/>
      <c r="R70" s="1185"/>
      <c r="S70" s="1185"/>
      <c r="T70" s="1185"/>
      <c r="U70" s="1185"/>
      <c r="V70" s="1185"/>
      <c r="W70" s="1185"/>
      <c r="X70" s="1185"/>
      <c r="Y70" s="1185"/>
      <c r="Z70" s="1185"/>
      <c r="AA70" s="1185"/>
      <c r="AB70" s="1185"/>
      <c r="AC70" s="1185"/>
      <c r="AD70" s="1185"/>
      <c r="AE70" s="1192"/>
      <c r="AF70" s="2534"/>
      <c r="AG70" s="2535"/>
      <c r="AH70" s="2535"/>
      <c r="AI70" s="2906"/>
      <c r="AJ70" s="2535"/>
      <c r="AK70" s="2535"/>
      <c r="AL70" s="1994"/>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644"/>
    </row>
    <row customHeight="1" ht="11.25">
      <c r="A71" s="1175" t="s">
        <v>1036</v>
      </c>
      <c r="B71" s="1175" t="s">
        <v>1068</v>
      </c>
      <c r="C71" s="1175"/>
      <c r="D71" s="1169"/>
      <c r="E71" s="1179"/>
      <c r="F71" s="1837"/>
      <c r="G71" s="692" t="s">
        <v>104</v>
      </c>
      <c r="H71" s="2543" t="s">
        <v>167</v>
      </c>
      <c r="I71" s="2544" t="s">
        <v>1069</v>
      </c>
      <c r="J71" s="2513" t="s">
        <v>1092</v>
      </c>
      <c r="K71" s="2545" t="s">
        <v>1117</v>
      </c>
      <c r="L71" s="2135" t="s">
        <v>19</v>
      </c>
      <c r="M71" s="2136"/>
      <c r="N71" s="1992"/>
      <c r="O71" s="1186" t="s">
        <v>391</v>
      </c>
      <c r="P71" s="1187"/>
      <c r="Q71" s="1187"/>
      <c r="R71" s="1187"/>
      <c r="S71" s="1187"/>
      <c r="T71" s="1187"/>
      <c r="U71" s="1187"/>
      <c r="V71" s="1187"/>
      <c r="W71" s="1187"/>
      <c r="X71" s="1187"/>
      <c r="Y71" s="1187"/>
      <c r="Z71" s="1187"/>
      <c r="AA71" s="1187"/>
      <c r="AB71" s="1187"/>
      <c r="AC71" s="1187"/>
      <c r="AD71" s="1187"/>
      <c r="AE71" s="1187"/>
      <c r="AF71" s="2534">
        <v>2</v>
      </c>
      <c r="AG71" s="2535" t="s">
        <v>1094</v>
      </c>
      <c r="AH71" s="2535" t="s">
        <v>1073</v>
      </c>
      <c r="AI71" s="2906">
        <v>1</v>
      </c>
      <c r="AJ71" s="2535" t="s">
        <v>1072</v>
      </c>
      <c r="AK71" s="2535" t="s">
        <v>1085</v>
      </c>
      <c r="AL71" s="1994"/>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644"/>
    </row>
    <row customHeight="1" ht="11.25">
      <c r="A72" s="1175" t="s">
        <v>1036</v>
      </c>
      <c r="B72" s="1175"/>
      <c r="C72" s="1175"/>
      <c r="D72" s="1169"/>
      <c r="E72" s="1179"/>
      <c r="F72" s="1837"/>
      <c r="G72" s="1838"/>
      <c r="H72" s="2543" t="s">
        <v>166</v>
      </c>
      <c r="I72" s="2544"/>
      <c r="J72" s="2513"/>
      <c r="K72" s="2545"/>
      <c r="L72" s="2135"/>
      <c r="M72" s="2136"/>
      <c r="N72" s="2536"/>
      <c r="O72" s="2537">
        <v>1</v>
      </c>
      <c r="P72" s="2538" t="s">
        <v>63</v>
      </c>
      <c r="Q72" s="2725" t="s">
        <v>1101</v>
      </c>
      <c r="R72" s="2726" t="s">
        <v>1076</v>
      </c>
      <c r="S72" s="2726" t="s">
        <v>106</v>
      </c>
      <c r="T72" s="2726" t="s">
        <v>106</v>
      </c>
      <c r="U72" s="2726" t="s">
        <v>107</v>
      </c>
      <c r="V72" s="2726" t="s">
        <v>1077</v>
      </c>
      <c r="W72" s="2726" t="s">
        <v>1078</v>
      </c>
      <c r="X72" s="2726" t="s">
        <v>1102</v>
      </c>
      <c r="Y72" s="2726" t="s">
        <v>1103</v>
      </c>
      <c r="Z72" s="1184"/>
      <c r="AA72" s="1185"/>
      <c r="AB72" s="1185"/>
      <c r="AC72" s="1189"/>
      <c r="AD72" s="1189"/>
      <c r="AE72" s="1190"/>
      <c r="AF72" s="2534"/>
      <c r="AG72" s="2535"/>
      <c r="AH72" s="2535"/>
      <c r="AI72" s="2906"/>
      <c r="AJ72" s="2535"/>
      <c r="AK72" s="2535"/>
      <c r="AL72" s="1994"/>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644"/>
    </row>
    <row customHeight="1" ht="11.25">
      <c r="A73" s="1175" t="s">
        <v>1036</v>
      </c>
      <c r="B73" s="1175"/>
      <c r="C73" s="1175"/>
      <c r="D73" s="1169"/>
      <c r="E73" s="1179"/>
      <c r="F73" s="1837"/>
      <c r="G73" s="1838"/>
      <c r="H73" s="2543" t="s">
        <v>166</v>
      </c>
      <c r="I73" s="2544"/>
      <c r="J73" s="2513"/>
      <c r="K73" s="2545"/>
      <c r="L73" s="2135"/>
      <c r="M73" s="2136"/>
      <c r="N73" s="2536"/>
      <c r="O73" s="2537"/>
      <c r="P73" s="2539"/>
      <c r="Q73" s="2725"/>
      <c r="R73" s="2541"/>
      <c r="S73" s="2542"/>
      <c r="T73" s="2541"/>
      <c r="U73" s="2541"/>
      <c r="V73" s="2541"/>
      <c r="W73" s="2541"/>
      <c r="X73" s="2541"/>
      <c r="Y73" s="2541"/>
      <c r="Z73" s="1836"/>
      <c r="AA73" s="1802">
        <v>1</v>
      </c>
      <c r="AB73" s="1188" t="s">
        <v>1081</v>
      </c>
      <c r="AC73" s="1178">
        <v>32114.05</v>
      </c>
      <c r="AD73" s="1188" t="str">
        <f>AB73</f>
        <v>      Амортизационные отчисления с выделением результатов переоценки основных средств и нематериальных активов</v>
      </c>
      <c r="AE73" s="1178">
        <v>30258.71</v>
      </c>
      <c r="AF73" s="2534"/>
      <c r="AG73" s="2535"/>
      <c r="AH73" s="2535"/>
      <c r="AI73" s="2906"/>
      <c r="AJ73" s="2535"/>
      <c r="AK73" s="2535"/>
      <c r="AL73" s="1994"/>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644"/>
    </row>
    <row customHeight="1" ht="11.25">
      <c r="A74" s="1175" t="s">
        <v>1036</v>
      </c>
      <c r="B74" s="1175"/>
      <c r="C74" s="1175"/>
      <c r="D74" s="1169"/>
      <c r="E74" s="1179"/>
      <c r="F74" s="1837"/>
      <c r="G74" s="1838"/>
      <c r="H74" s="2543" t="s">
        <v>166</v>
      </c>
      <c r="I74" s="2544"/>
      <c r="J74" s="2513"/>
      <c r="K74" s="2545"/>
      <c r="L74" s="2135"/>
      <c r="M74" s="2136"/>
      <c r="N74" s="2536"/>
      <c r="O74" s="2537"/>
      <c r="P74" s="2540"/>
      <c r="Q74" s="2725"/>
      <c r="R74" s="2541"/>
      <c r="S74" s="2542"/>
      <c r="T74" s="2541"/>
      <c r="U74" s="2541"/>
      <c r="V74" s="2541"/>
      <c r="W74" s="2541"/>
      <c r="X74" s="2541"/>
      <c r="Y74" s="2541"/>
      <c r="Z74" s="1184"/>
      <c r="AA74" s="1185"/>
      <c r="AB74" s="1250" t="s">
        <v>1082</v>
      </c>
      <c r="AC74" s="1189"/>
      <c r="AD74" s="1189"/>
      <c r="AE74" s="1191"/>
      <c r="AF74" s="2534"/>
      <c r="AG74" s="2535"/>
      <c r="AH74" s="2535"/>
      <c r="AI74" s="2906"/>
      <c r="AJ74" s="2535"/>
      <c r="AK74" s="2535"/>
      <c r="AL74" s="1994"/>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644"/>
    </row>
    <row customHeight="1" ht="11.25">
      <c r="A75" s="1175" t="s">
        <v>1036</v>
      </c>
      <c r="B75" s="1175"/>
      <c r="C75" s="1175"/>
      <c r="D75" s="1169"/>
      <c r="E75" s="1179"/>
      <c r="F75" s="1837"/>
      <c r="G75" s="1838"/>
      <c r="H75" s="2543" t="s">
        <v>166</v>
      </c>
      <c r="I75" s="2544"/>
      <c r="J75" s="2513"/>
      <c r="K75" s="2545"/>
      <c r="L75" s="2135"/>
      <c r="M75" s="2136"/>
      <c r="N75" s="1184"/>
      <c r="O75" s="1185"/>
      <c r="P75" s="1177" t="s">
        <v>1083</v>
      </c>
      <c r="Q75" s="1185"/>
      <c r="R75" s="1185"/>
      <c r="S75" s="1185"/>
      <c r="T75" s="1185"/>
      <c r="U75" s="1185"/>
      <c r="V75" s="1185"/>
      <c r="W75" s="1185"/>
      <c r="X75" s="1185"/>
      <c r="Y75" s="1185"/>
      <c r="Z75" s="1185"/>
      <c r="AA75" s="1185"/>
      <c r="AB75" s="1185"/>
      <c r="AC75" s="1185"/>
      <c r="AD75" s="1185"/>
      <c r="AE75" s="1192"/>
      <c r="AF75" s="2534"/>
      <c r="AG75" s="2535"/>
      <c r="AH75" s="2535"/>
      <c r="AI75" s="2906"/>
      <c r="AJ75" s="2535"/>
      <c r="AK75" s="2535"/>
      <c r="AL75" s="1994"/>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644"/>
    </row>
    <row customHeight="1" ht="11.25">
      <c r="A76" s="1175" t="s">
        <v>1036</v>
      </c>
      <c r="B76" s="1175" t="s">
        <v>1068</v>
      </c>
      <c r="C76" s="1175"/>
      <c r="D76" s="1169"/>
      <c r="E76" s="1179"/>
      <c r="F76" s="1837"/>
      <c r="G76" s="692" t="s">
        <v>104</v>
      </c>
      <c r="H76" s="2543" t="s">
        <v>168</v>
      </c>
      <c r="I76" s="2544" t="s">
        <v>1069</v>
      </c>
      <c r="J76" s="2513" t="s">
        <v>1092</v>
      </c>
      <c r="K76" s="2545" t="s">
        <v>1118</v>
      </c>
      <c r="L76" s="2135" t="s">
        <v>19</v>
      </c>
      <c r="M76" s="2136"/>
      <c r="N76" s="1992"/>
      <c r="O76" s="1186" t="s">
        <v>391</v>
      </c>
      <c r="P76" s="1187"/>
      <c r="Q76" s="1187"/>
      <c r="R76" s="1187"/>
      <c r="S76" s="1187"/>
      <c r="T76" s="1187"/>
      <c r="U76" s="1187"/>
      <c r="V76" s="1187"/>
      <c r="W76" s="1187"/>
      <c r="X76" s="1187"/>
      <c r="Y76" s="1187"/>
      <c r="Z76" s="1187"/>
      <c r="AA76" s="1187"/>
      <c r="AB76" s="1187"/>
      <c r="AC76" s="1187"/>
      <c r="AD76" s="1187"/>
      <c r="AE76" s="1187"/>
      <c r="AF76" s="2534">
        <v>1</v>
      </c>
      <c r="AG76" s="2535" t="s">
        <v>1094</v>
      </c>
      <c r="AH76" s="2535" t="s">
        <v>1085</v>
      </c>
      <c r="AI76" s="2534">
        <v>1</v>
      </c>
      <c r="AJ76" s="2535" t="s">
        <v>1095</v>
      </c>
      <c r="AK76" s="2535" t="s">
        <v>1085</v>
      </c>
      <c r="AL76" s="1994"/>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644"/>
    </row>
    <row customHeight="1" ht="11.25">
      <c r="A77" s="1175" t="s">
        <v>1036</v>
      </c>
      <c r="B77" s="1175"/>
      <c r="C77" s="1175"/>
      <c r="D77" s="1169"/>
      <c r="E77" s="1179"/>
      <c r="F77" s="1837"/>
      <c r="G77" s="1838"/>
      <c r="H77" s="2543" t="s">
        <v>167</v>
      </c>
      <c r="I77" s="2544"/>
      <c r="J77" s="2513"/>
      <c r="K77" s="2545"/>
      <c r="L77" s="2135"/>
      <c r="M77" s="2136"/>
      <c r="N77" s="2536"/>
      <c r="O77" s="2537">
        <v>1</v>
      </c>
      <c r="P77" s="2538" t="s">
        <v>63</v>
      </c>
      <c r="Q77" s="2725" t="s">
        <v>1112</v>
      </c>
      <c r="R77" s="2726" t="s">
        <v>1076</v>
      </c>
      <c r="S77" s="2726" t="s">
        <v>106</v>
      </c>
      <c r="T77" s="2726" t="s">
        <v>106</v>
      </c>
      <c r="U77" s="2726" t="s">
        <v>107</v>
      </c>
      <c r="V77" s="2726" t="s">
        <v>1077</v>
      </c>
      <c r="W77" s="2726" t="s">
        <v>1078</v>
      </c>
      <c r="X77" s="2726" t="s">
        <v>1113</v>
      </c>
      <c r="Y77" s="2726" t="s">
        <v>1114</v>
      </c>
      <c r="Z77" s="1184"/>
      <c r="AA77" s="1185"/>
      <c r="AB77" s="1185"/>
      <c r="AC77" s="1189"/>
      <c r="AD77" s="1189"/>
      <c r="AE77" s="1190"/>
      <c r="AF77" s="2534"/>
      <c r="AG77" s="2535"/>
      <c r="AH77" s="2535"/>
      <c r="AI77" s="2534"/>
      <c r="AJ77" s="2535"/>
      <c r="AK77" s="2535"/>
      <c r="AL77" s="1994"/>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644"/>
    </row>
    <row customHeight="1" ht="11.25">
      <c r="A78" s="1175" t="s">
        <v>1036</v>
      </c>
      <c r="B78" s="1175"/>
      <c r="C78" s="1175"/>
      <c r="D78" s="1169"/>
      <c r="E78" s="1179"/>
      <c r="F78" s="1837"/>
      <c r="G78" s="1838"/>
      <c r="H78" s="2543" t="s">
        <v>167</v>
      </c>
      <c r="I78" s="2544"/>
      <c r="J78" s="2513"/>
      <c r="K78" s="2545"/>
      <c r="L78" s="2135"/>
      <c r="M78" s="2136"/>
      <c r="N78" s="2536"/>
      <c r="O78" s="2537"/>
      <c r="P78" s="2539"/>
      <c r="Q78" s="2725"/>
      <c r="R78" s="2541"/>
      <c r="S78" s="2542"/>
      <c r="T78" s="2541"/>
      <c r="U78" s="2541"/>
      <c r="V78" s="2541"/>
      <c r="W78" s="2541"/>
      <c r="X78" s="2541"/>
      <c r="Y78" s="2541"/>
      <c r="Z78" s="1836"/>
      <c r="AA78" s="1802">
        <v>1</v>
      </c>
      <c r="AB78" s="1188" t="s">
        <v>1081</v>
      </c>
      <c r="AC78" s="1178">
        <v>1390.11</v>
      </c>
      <c r="AD78" s="1188" t="str">
        <f>AB78</f>
        <v>      Амортизационные отчисления с выделением результатов переоценки основных средств и нематериальных активов</v>
      </c>
      <c r="AE78" s="1178">
        <v>7564.37</v>
      </c>
      <c r="AF78" s="2534"/>
      <c r="AG78" s="2535"/>
      <c r="AH78" s="2535"/>
      <c r="AI78" s="2534"/>
      <c r="AJ78" s="2535"/>
      <c r="AK78" s="2535"/>
      <c r="AL78" s="1994"/>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644"/>
    </row>
    <row customHeight="1" ht="11.25">
      <c r="A79" s="1175" t="s">
        <v>1036</v>
      </c>
      <c r="B79" s="1175"/>
      <c r="C79" s="1175"/>
      <c r="D79" s="1169"/>
      <c r="E79" s="1179"/>
      <c r="F79" s="1837"/>
      <c r="G79" s="1838"/>
      <c r="H79" s="2543" t="s">
        <v>167</v>
      </c>
      <c r="I79" s="2544"/>
      <c r="J79" s="2513"/>
      <c r="K79" s="2545"/>
      <c r="L79" s="2135"/>
      <c r="M79" s="2136"/>
      <c r="N79" s="2536"/>
      <c r="O79" s="2537"/>
      <c r="P79" s="2540"/>
      <c r="Q79" s="2725"/>
      <c r="R79" s="2541"/>
      <c r="S79" s="2542"/>
      <c r="T79" s="2541"/>
      <c r="U79" s="2541"/>
      <c r="V79" s="2541"/>
      <c r="W79" s="2541"/>
      <c r="X79" s="2541"/>
      <c r="Y79" s="2541"/>
      <c r="Z79" s="1184"/>
      <c r="AA79" s="1185"/>
      <c r="AB79" s="1250" t="s">
        <v>1082</v>
      </c>
      <c r="AC79" s="1189"/>
      <c r="AD79" s="1189"/>
      <c r="AE79" s="1191"/>
      <c r="AF79" s="2534"/>
      <c r="AG79" s="2535"/>
      <c r="AH79" s="2535"/>
      <c r="AI79" s="2534"/>
      <c r="AJ79" s="2535"/>
      <c r="AK79" s="2535"/>
      <c r="AL79" s="1994"/>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644"/>
    </row>
    <row customHeight="1" ht="11.25">
      <c r="A80" s="1175" t="s">
        <v>1036</v>
      </c>
      <c r="B80" s="1175"/>
      <c r="C80" s="1175"/>
      <c r="D80" s="1169"/>
      <c r="E80" s="1179"/>
      <c r="F80" s="1837"/>
      <c r="G80" s="1838"/>
      <c r="H80" s="2543" t="s">
        <v>167</v>
      </c>
      <c r="I80" s="2544"/>
      <c r="J80" s="2513"/>
      <c r="K80" s="2545"/>
      <c r="L80" s="2135"/>
      <c r="M80" s="2136"/>
      <c r="N80" s="1184"/>
      <c r="O80" s="1185"/>
      <c r="P80" s="1177" t="s">
        <v>1083</v>
      </c>
      <c r="Q80" s="1185"/>
      <c r="R80" s="1185"/>
      <c r="S80" s="1185"/>
      <c r="T80" s="1185"/>
      <c r="U80" s="1185"/>
      <c r="V80" s="1185"/>
      <c r="W80" s="1185"/>
      <c r="X80" s="1185"/>
      <c r="Y80" s="1185"/>
      <c r="Z80" s="1185"/>
      <c r="AA80" s="1185"/>
      <c r="AB80" s="1185"/>
      <c r="AC80" s="1185"/>
      <c r="AD80" s="1185"/>
      <c r="AE80" s="1192"/>
      <c r="AF80" s="2534"/>
      <c r="AG80" s="2535"/>
      <c r="AH80" s="2535"/>
      <c r="AI80" s="2534"/>
      <c r="AJ80" s="2535"/>
      <c r="AK80" s="2535"/>
      <c r="AL80" s="1994"/>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644"/>
    </row>
    <row customHeight="1" ht="11.25">
      <c r="A81" s="1175" t="s">
        <v>1036</v>
      </c>
      <c r="B81" s="1175" t="s">
        <v>1068</v>
      </c>
      <c r="C81" s="1175"/>
      <c r="D81" s="1169"/>
      <c r="E81" s="1179"/>
      <c r="F81" s="1837"/>
      <c r="G81" s="692" t="s">
        <v>104</v>
      </c>
      <c r="H81" s="2543" t="s">
        <v>169</v>
      </c>
      <c r="I81" s="2544" t="s">
        <v>1069</v>
      </c>
      <c r="J81" s="2513" t="s">
        <v>1092</v>
      </c>
      <c r="K81" s="2545" t="s">
        <v>1119</v>
      </c>
      <c r="L81" s="2135" t="s">
        <v>19</v>
      </c>
      <c r="M81" s="2136"/>
      <c r="N81" s="1992"/>
      <c r="O81" s="1186" t="s">
        <v>391</v>
      </c>
      <c r="P81" s="1187"/>
      <c r="Q81" s="1187"/>
      <c r="R81" s="1187"/>
      <c r="S81" s="1187"/>
      <c r="T81" s="1187"/>
      <c r="U81" s="1187"/>
      <c r="V81" s="1187"/>
      <c r="W81" s="1187"/>
      <c r="X81" s="1187"/>
      <c r="Y81" s="1187"/>
      <c r="Z81" s="1187"/>
      <c r="AA81" s="1187"/>
      <c r="AB81" s="1187"/>
      <c r="AC81" s="1187"/>
      <c r="AD81" s="1187"/>
      <c r="AE81" s="1187"/>
      <c r="AF81" s="2534">
        <v>1</v>
      </c>
      <c r="AG81" s="2535" t="s">
        <v>1094</v>
      </c>
      <c r="AH81" s="2535" t="s">
        <v>1085</v>
      </c>
      <c r="AI81" s="2534">
        <v>1</v>
      </c>
      <c r="AJ81" s="2535" t="s">
        <v>1095</v>
      </c>
      <c r="AK81" s="2535" t="s">
        <v>1085</v>
      </c>
      <c r="AL81" s="1994"/>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644"/>
    </row>
    <row customHeight="1" ht="11.25">
      <c r="A82" s="1175" t="s">
        <v>1036</v>
      </c>
      <c r="B82" s="1175"/>
      <c r="C82" s="1175"/>
      <c r="D82" s="1169"/>
      <c r="E82" s="1179"/>
      <c r="F82" s="1837"/>
      <c r="G82" s="1838"/>
      <c r="H82" s="2543" t="s">
        <v>168</v>
      </c>
      <c r="I82" s="2544"/>
      <c r="J82" s="2513"/>
      <c r="K82" s="2545"/>
      <c r="L82" s="2135"/>
      <c r="M82" s="2136"/>
      <c r="N82" s="2536"/>
      <c r="O82" s="2537">
        <v>1</v>
      </c>
      <c r="P82" s="2538" t="s">
        <v>63</v>
      </c>
      <c r="Q82" s="2725" t="s">
        <v>1112</v>
      </c>
      <c r="R82" s="2726" t="s">
        <v>1076</v>
      </c>
      <c r="S82" s="2726" t="s">
        <v>106</v>
      </c>
      <c r="T82" s="2726" t="s">
        <v>106</v>
      </c>
      <c r="U82" s="2726" t="s">
        <v>107</v>
      </c>
      <c r="V82" s="2726" t="s">
        <v>1077</v>
      </c>
      <c r="W82" s="2726" t="s">
        <v>1078</v>
      </c>
      <c r="X82" s="2726" t="s">
        <v>1113</v>
      </c>
      <c r="Y82" s="2726" t="s">
        <v>1114</v>
      </c>
      <c r="Z82" s="1184"/>
      <c r="AA82" s="1185"/>
      <c r="AB82" s="1185"/>
      <c r="AC82" s="1189"/>
      <c r="AD82" s="1189"/>
      <c r="AE82" s="1190"/>
      <c r="AF82" s="2534"/>
      <c r="AG82" s="2535"/>
      <c r="AH82" s="2535"/>
      <c r="AI82" s="2534"/>
      <c r="AJ82" s="2535"/>
      <c r="AK82" s="2535"/>
      <c r="AL82" s="1994"/>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644"/>
    </row>
    <row customHeight="1" ht="11.25">
      <c r="A83" s="1175" t="s">
        <v>1036</v>
      </c>
      <c r="B83" s="1175"/>
      <c r="C83" s="1175"/>
      <c r="D83" s="1169"/>
      <c r="E83" s="1179"/>
      <c r="F83" s="1837"/>
      <c r="G83" s="1838"/>
      <c r="H83" s="2543" t="s">
        <v>168</v>
      </c>
      <c r="I83" s="2544"/>
      <c r="J83" s="2513"/>
      <c r="K83" s="2545"/>
      <c r="L83" s="2135"/>
      <c r="M83" s="2136"/>
      <c r="N83" s="2536"/>
      <c r="O83" s="2537"/>
      <c r="P83" s="2539"/>
      <c r="Q83" s="2725"/>
      <c r="R83" s="2541"/>
      <c r="S83" s="2542"/>
      <c r="T83" s="2541"/>
      <c r="U83" s="2541"/>
      <c r="V83" s="2541"/>
      <c r="W83" s="2541"/>
      <c r="X83" s="2541"/>
      <c r="Y83" s="2541"/>
      <c r="Z83" s="1836"/>
      <c r="AA83" s="1802">
        <v>1</v>
      </c>
      <c r="AB83" s="1188" t="s">
        <v>1081</v>
      </c>
      <c r="AC83" s="1178">
        <v>1300.36</v>
      </c>
      <c r="AD83" s="1188" t="str">
        <f>AB83</f>
        <v>      Амортизационные отчисления с выделением результатов переоценки основных средств и нематериальных активов</v>
      </c>
      <c r="AE83" s="1178">
        <v>1300.36</v>
      </c>
      <c r="AF83" s="2534"/>
      <c r="AG83" s="2535"/>
      <c r="AH83" s="2535"/>
      <c r="AI83" s="2534"/>
      <c r="AJ83" s="2535"/>
      <c r="AK83" s="2535"/>
      <c r="AL83" s="1994"/>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644"/>
    </row>
    <row customHeight="1" ht="11.25">
      <c r="A84" s="1175" t="s">
        <v>1036</v>
      </c>
      <c r="B84" s="1175"/>
      <c r="C84" s="1175"/>
      <c r="D84" s="1169"/>
      <c r="E84" s="1179"/>
      <c r="F84" s="1837"/>
      <c r="G84" s="1838"/>
      <c r="H84" s="2543" t="s">
        <v>168</v>
      </c>
      <c r="I84" s="2544"/>
      <c r="J84" s="2513"/>
      <c r="K84" s="2545"/>
      <c r="L84" s="2135"/>
      <c r="M84" s="2136"/>
      <c r="N84" s="2536"/>
      <c r="O84" s="2537"/>
      <c r="P84" s="2540"/>
      <c r="Q84" s="2725"/>
      <c r="R84" s="2541"/>
      <c r="S84" s="2542"/>
      <c r="T84" s="2541"/>
      <c r="U84" s="2541"/>
      <c r="V84" s="2541"/>
      <c r="W84" s="2541"/>
      <c r="X84" s="2541"/>
      <c r="Y84" s="2541"/>
      <c r="Z84" s="1184"/>
      <c r="AA84" s="1185"/>
      <c r="AB84" s="1250" t="s">
        <v>1082</v>
      </c>
      <c r="AC84" s="1189"/>
      <c r="AD84" s="1189"/>
      <c r="AE84" s="1191"/>
      <c r="AF84" s="2534"/>
      <c r="AG84" s="2535"/>
      <c r="AH84" s="2535"/>
      <c r="AI84" s="2534"/>
      <c r="AJ84" s="2535"/>
      <c r="AK84" s="2535"/>
      <c r="AL84" s="1994"/>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644"/>
    </row>
    <row customHeight="1" ht="11.25">
      <c r="A85" s="1175" t="s">
        <v>1036</v>
      </c>
      <c r="B85" s="1175"/>
      <c r="C85" s="1175"/>
      <c r="D85" s="1169"/>
      <c r="E85" s="1179"/>
      <c r="F85" s="1837"/>
      <c r="G85" s="1838"/>
      <c r="H85" s="2543" t="s">
        <v>168</v>
      </c>
      <c r="I85" s="2544"/>
      <c r="J85" s="2513"/>
      <c r="K85" s="2545"/>
      <c r="L85" s="2135"/>
      <c r="M85" s="2136"/>
      <c r="N85" s="1184"/>
      <c r="O85" s="1185"/>
      <c r="P85" s="1177" t="s">
        <v>1083</v>
      </c>
      <c r="Q85" s="1185"/>
      <c r="R85" s="1185"/>
      <c r="S85" s="1185"/>
      <c r="T85" s="1185"/>
      <c r="U85" s="1185"/>
      <c r="V85" s="1185"/>
      <c r="W85" s="1185"/>
      <c r="X85" s="1185"/>
      <c r="Y85" s="1185"/>
      <c r="Z85" s="1185"/>
      <c r="AA85" s="1185"/>
      <c r="AB85" s="1185"/>
      <c r="AC85" s="1185"/>
      <c r="AD85" s="1185"/>
      <c r="AE85" s="1192"/>
      <c r="AF85" s="2534"/>
      <c r="AG85" s="2535"/>
      <c r="AH85" s="2535"/>
      <c r="AI85" s="2534"/>
      <c r="AJ85" s="2535"/>
      <c r="AK85" s="2535"/>
      <c r="AL85" s="1994"/>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644"/>
    </row>
    <row customHeight="1" ht="11.25">
      <c r="A86" s="1175" t="s">
        <v>1036</v>
      </c>
      <c r="B86" s="1175" t="s">
        <v>1068</v>
      </c>
      <c r="C86" s="1175"/>
      <c r="D86" s="1169"/>
      <c r="E86" s="1179"/>
      <c r="F86" s="1837"/>
      <c r="G86" s="692" t="s">
        <v>104</v>
      </c>
      <c r="H86" s="2543" t="s">
        <v>170</v>
      </c>
      <c r="I86" s="2544" t="s">
        <v>1069</v>
      </c>
      <c r="J86" s="2513" t="s">
        <v>1092</v>
      </c>
      <c r="K86" s="2545" t="s">
        <v>1120</v>
      </c>
      <c r="L86" s="2135" t="s">
        <v>19</v>
      </c>
      <c r="M86" s="2136"/>
      <c r="N86" s="1992"/>
      <c r="O86" s="1186" t="s">
        <v>391</v>
      </c>
      <c r="P86" s="1187"/>
      <c r="Q86" s="1187"/>
      <c r="R86" s="1187"/>
      <c r="S86" s="1187"/>
      <c r="T86" s="1187"/>
      <c r="U86" s="1187"/>
      <c r="V86" s="1187"/>
      <c r="W86" s="1187"/>
      <c r="X86" s="1187"/>
      <c r="Y86" s="1187"/>
      <c r="Z86" s="1187"/>
      <c r="AA86" s="1187"/>
      <c r="AB86" s="1187"/>
      <c r="AC86" s="1187"/>
      <c r="AD86" s="1187"/>
      <c r="AE86" s="1187"/>
      <c r="AF86" s="2534">
        <v>2</v>
      </c>
      <c r="AG86" s="2535" t="s">
        <v>1094</v>
      </c>
      <c r="AH86" s="2535" t="s">
        <v>1073</v>
      </c>
      <c r="AI86" s="2906">
        <v>1</v>
      </c>
      <c r="AJ86" s="2535" t="s">
        <v>1072</v>
      </c>
      <c r="AK86" s="2535" t="s">
        <v>1085</v>
      </c>
      <c r="AL86" s="1994"/>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644"/>
    </row>
    <row customHeight="1" ht="11.25">
      <c r="A87" s="1175" t="s">
        <v>1036</v>
      </c>
      <c r="B87" s="1175"/>
      <c r="C87" s="1175"/>
      <c r="D87" s="1169"/>
      <c r="E87" s="1179"/>
      <c r="F87" s="1837"/>
      <c r="G87" s="1838"/>
      <c r="H87" s="2543" t="s">
        <v>169</v>
      </c>
      <c r="I87" s="2544"/>
      <c r="J87" s="2513"/>
      <c r="K87" s="2545"/>
      <c r="L87" s="2135"/>
      <c r="M87" s="2136"/>
      <c r="N87" s="2536"/>
      <c r="O87" s="2537">
        <v>1</v>
      </c>
      <c r="P87" s="2538" t="s">
        <v>63</v>
      </c>
      <c r="Q87" s="2725" t="s">
        <v>1096</v>
      </c>
      <c r="R87" s="2726" t="s">
        <v>1097</v>
      </c>
      <c r="S87" s="2726" t="s">
        <v>106</v>
      </c>
      <c r="T87" s="2726" t="s">
        <v>106</v>
      </c>
      <c r="U87" s="2726" t="s">
        <v>107</v>
      </c>
      <c r="V87" s="2726" t="s">
        <v>1077</v>
      </c>
      <c r="W87" s="2726" t="s">
        <v>1078</v>
      </c>
      <c r="X87" s="2726" t="s">
        <v>1098</v>
      </c>
      <c r="Y87" s="2726" t="s">
        <v>1099</v>
      </c>
      <c r="Z87" s="1184"/>
      <c r="AA87" s="1185"/>
      <c r="AB87" s="1185"/>
      <c r="AC87" s="1189"/>
      <c r="AD87" s="1189"/>
      <c r="AE87" s="1190"/>
      <c r="AF87" s="2534"/>
      <c r="AG87" s="2535"/>
      <c r="AH87" s="2535"/>
      <c r="AI87" s="2906"/>
      <c r="AJ87" s="2535"/>
      <c r="AK87" s="2535"/>
      <c r="AL87" s="1994"/>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644"/>
    </row>
    <row customHeight="1" ht="11.25">
      <c r="A88" s="1175" t="s">
        <v>1036</v>
      </c>
      <c r="B88" s="1175"/>
      <c r="C88" s="1175"/>
      <c r="D88" s="1169"/>
      <c r="E88" s="1179"/>
      <c r="F88" s="1837"/>
      <c r="G88" s="1838"/>
      <c r="H88" s="2543" t="s">
        <v>169</v>
      </c>
      <c r="I88" s="2544"/>
      <c r="J88" s="2513"/>
      <c r="K88" s="2545"/>
      <c r="L88" s="2135"/>
      <c r="M88" s="2136"/>
      <c r="N88" s="2536"/>
      <c r="O88" s="2537"/>
      <c r="P88" s="2539"/>
      <c r="Q88" s="2725"/>
      <c r="R88" s="2541"/>
      <c r="S88" s="2542"/>
      <c r="T88" s="2541"/>
      <c r="U88" s="2541"/>
      <c r="V88" s="2541"/>
      <c r="W88" s="2541"/>
      <c r="X88" s="2541"/>
      <c r="Y88" s="2541"/>
      <c r="Z88" s="1836"/>
      <c r="AA88" s="1802">
        <v>1</v>
      </c>
      <c r="AB88" s="1188" t="s">
        <v>1081</v>
      </c>
      <c r="AC88" s="1178">
        <v>22506.22</v>
      </c>
      <c r="AD88" s="1188" t="str">
        <f>AB88</f>
        <v>      Амортизационные отчисления с выделением результатов переоценки основных средств и нематериальных активов</v>
      </c>
      <c r="AE88" s="1178">
        <v>9819.17</v>
      </c>
      <c r="AF88" s="2534"/>
      <c r="AG88" s="2535"/>
      <c r="AH88" s="2535"/>
      <c r="AI88" s="2906"/>
      <c r="AJ88" s="2535"/>
      <c r="AK88" s="2535"/>
      <c r="AL88" s="1994"/>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644"/>
    </row>
    <row customHeight="1" ht="11.25">
      <c r="A89" s="1175" t="s">
        <v>1036</v>
      </c>
      <c r="B89" s="1175"/>
      <c r="C89" s="1175"/>
      <c r="D89" s="1169"/>
      <c r="E89" s="1179"/>
      <c r="F89" s="1837"/>
      <c r="G89" s="1838"/>
      <c r="H89" s="2543" t="s">
        <v>169</v>
      </c>
      <c r="I89" s="2544"/>
      <c r="J89" s="2513"/>
      <c r="K89" s="2545"/>
      <c r="L89" s="2135"/>
      <c r="M89" s="2136"/>
      <c r="N89" s="2536"/>
      <c r="O89" s="2537"/>
      <c r="P89" s="2540"/>
      <c r="Q89" s="2725"/>
      <c r="R89" s="2541"/>
      <c r="S89" s="2542"/>
      <c r="T89" s="2541"/>
      <c r="U89" s="2541"/>
      <c r="V89" s="2541"/>
      <c r="W89" s="2541"/>
      <c r="X89" s="2541"/>
      <c r="Y89" s="2541"/>
      <c r="Z89" s="1184"/>
      <c r="AA89" s="1185"/>
      <c r="AB89" s="1250" t="s">
        <v>1082</v>
      </c>
      <c r="AC89" s="1189"/>
      <c r="AD89" s="1189"/>
      <c r="AE89" s="1191"/>
      <c r="AF89" s="2534"/>
      <c r="AG89" s="2535"/>
      <c r="AH89" s="2535"/>
      <c r="AI89" s="2906"/>
      <c r="AJ89" s="2535"/>
      <c r="AK89" s="2535"/>
      <c r="AL89" s="1994"/>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644"/>
    </row>
    <row customHeight="1" ht="11.25">
      <c r="A90" s="1175" t="s">
        <v>1036</v>
      </c>
      <c r="B90" s="1175"/>
      <c r="C90" s="1175"/>
      <c r="D90" s="1169"/>
      <c r="E90" s="1179"/>
      <c r="F90" s="1837"/>
      <c r="G90" s="1838"/>
      <c r="H90" s="2543" t="s">
        <v>169</v>
      </c>
      <c r="I90" s="2544"/>
      <c r="J90" s="2513"/>
      <c r="K90" s="2545"/>
      <c r="L90" s="2135"/>
      <c r="M90" s="2136"/>
      <c r="N90" s="1184"/>
      <c r="O90" s="1185"/>
      <c r="P90" s="1177" t="s">
        <v>1083</v>
      </c>
      <c r="Q90" s="1185"/>
      <c r="R90" s="1185"/>
      <c r="S90" s="1185"/>
      <c r="T90" s="1185"/>
      <c r="U90" s="1185"/>
      <c r="V90" s="1185"/>
      <c r="W90" s="1185"/>
      <c r="X90" s="1185"/>
      <c r="Y90" s="1185"/>
      <c r="Z90" s="1185"/>
      <c r="AA90" s="1185"/>
      <c r="AB90" s="1185"/>
      <c r="AC90" s="1185"/>
      <c r="AD90" s="1185"/>
      <c r="AE90" s="1192"/>
      <c r="AF90" s="2534"/>
      <c r="AG90" s="2535"/>
      <c r="AH90" s="2535"/>
      <c r="AI90" s="2906"/>
      <c r="AJ90" s="2535"/>
      <c r="AK90" s="2535"/>
      <c r="AL90" s="1994"/>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644"/>
    </row>
    <row customHeight="1" ht="11.25">
      <c r="A91" s="1175" t="s">
        <v>1036</v>
      </c>
      <c r="B91" s="1175" t="s">
        <v>1068</v>
      </c>
      <c r="C91" s="1175"/>
      <c r="D91" s="1169"/>
      <c r="E91" s="1179"/>
      <c r="F91" s="1837"/>
      <c r="G91" s="692" t="s">
        <v>104</v>
      </c>
      <c r="H91" s="2543" t="s">
        <v>1121</v>
      </c>
      <c r="I91" s="2544" t="s">
        <v>1069</v>
      </c>
      <c r="J91" s="2513" t="s">
        <v>1092</v>
      </c>
      <c r="K91" s="2545" t="s">
        <v>1122</v>
      </c>
      <c r="L91" s="2135" t="s">
        <v>19</v>
      </c>
      <c r="M91" s="2136"/>
      <c r="N91" s="1992"/>
      <c r="O91" s="1186" t="s">
        <v>391</v>
      </c>
      <c r="P91" s="1187"/>
      <c r="Q91" s="1187"/>
      <c r="R91" s="1187"/>
      <c r="S91" s="1187"/>
      <c r="T91" s="1187"/>
      <c r="U91" s="1187"/>
      <c r="V91" s="1187"/>
      <c r="W91" s="1187"/>
      <c r="X91" s="1187"/>
      <c r="Y91" s="1187"/>
      <c r="Z91" s="1187"/>
      <c r="AA91" s="1187"/>
      <c r="AB91" s="1187"/>
      <c r="AC91" s="1187"/>
      <c r="AD91" s="1187"/>
      <c r="AE91" s="1187"/>
      <c r="AF91" s="2534">
        <v>1</v>
      </c>
      <c r="AG91" s="2535" t="s">
        <v>1094</v>
      </c>
      <c r="AH91" s="2535" t="s">
        <v>1085</v>
      </c>
      <c r="AI91" s="2534">
        <v>1</v>
      </c>
      <c r="AJ91" s="2535" t="s">
        <v>1072</v>
      </c>
      <c r="AK91" s="2535" t="s">
        <v>1085</v>
      </c>
      <c r="AL91" s="1994"/>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c r="BG91" s="1644"/>
    </row>
    <row customHeight="1" ht="11.25">
      <c r="A92" s="1175" t="s">
        <v>1036</v>
      </c>
      <c r="B92" s="1175"/>
      <c r="C92" s="1175"/>
      <c r="D92" s="1169"/>
      <c r="E92" s="1179"/>
      <c r="F92" s="1837"/>
      <c r="G92" s="1838"/>
      <c r="H92" s="2543" t="s">
        <v>170</v>
      </c>
      <c r="I92" s="2544"/>
      <c r="J92" s="2513"/>
      <c r="K92" s="2545"/>
      <c r="L92" s="2135"/>
      <c r="M92" s="2136"/>
      <c r="N92" s="2536"/>
      <c r="O92" s="2537">
        <v>1</v>
      </c>
      <c r="P92" s="2538" t="s">
        <v>63</v>
      </c>
      <c r="Q92" s="2725" t="s">
        <v>1101</v>
      </c>
      <c r="R92" s="2726" t="s">
        <v>1076</v>
      </c>
      <c r="S92" s="2726" t="s">
        <v>106</v>
      </c>
      <c r="T92" s="2726" t="s">
        <v>106</v>
      </c>
      <c r="U92" s="2726" t="s">
        <v>107</v>
      </c>
      <c r="V92" s="2726" t="s">
        <v>1077</v>
      </c>
      <c r="W92" s="2726" t="s">
        <v>1078</v>
      </c>
      <c r="X92" s="2726" t="s">
        <v>1102</v>
      </c>
      <c r="Y92" s="2726" t="s">
        <v>1103</v>
      </c>
      <c r="Z92" s="1184"/>
      <c r="AA92" s="1185"/>
      <c r="AB92" s="1185"/>
      <c r="AC92" s="1189"/>
      <c r="AD92" s="1189"/>
      <c r="AE92" s="1190"/>
      <c r="AF92" s="2534"/>
      <c r="AG92" s="2535"/>
      <c r="AH92" s="2535"/>
      <c r="AI92" s="2534"/>
      <c r="AJ92" s="2535"/>
      <c r="AK92" s="2535"/>
      <c r="AL92" s="1994"/>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c r="BG92" s="1644"/>
    </row>
    <row customHeight="1" ht="11.25">
      <c r="A93" s="1175" t="s">
        <v>1036</v>
      </c>
      <c r="B93" s="1175"/>
      <c r="C93" s="1175"/>
      <c r="D93" s="1169"/>
      <c r="E93" s="1179"/>
      <c r="F93" s="1837"/>
      <c r="G93" s="1838"/>
      <c r="H93" s="2543" t="s">
        <v>170</v>
      </c>
      <c r="I93" s="2544"/>
      <c r="J93" s="2513"/>
      <c r="K93" s="2545"/>
      <c r="L93" s="2135"/>
      <c r="M93" s="2136"/>
      <c r="N93" s="2536"/>
      <c r="O93" s="2537"/>
      <c r="P93" s="2539"/>
      <c r="Q93" s="2725"/>
      <c r="R93" s="2541"/>
      <c r="S93" s="2542"/>
      <c r="T93" s="2541"/>
      <c r="U93" s="2541"/>
      <c r="V93" s="2541"/>
      <c r="W93" s="2541"/>
      <c r="X93" s="2541"/>
      <c r="Y93" s="2541"/>
      <c r="Z93" s="1836"/>
      <c r="AA93" s="1802">
        <v>1</v>
      </c>
      <c r="AB93" s="1188" t="s">
        <v>1081</v>
      </c>
      <c r="AC93" s="1178">
        <v>896.9</v>
      </c>
      <c r="AD93" s="1188" t="str">
        <f>AB93</f>
        <v>      Амортизационные отчисления с выделением результатов переоценки основных средств и нематериальных активов</v>
      </c>
      <c r="AE93" s="1178">
        <v>896.9</v>
      </c>
      <c r="AF93" s="2534"/>
      <c r="AG93" s="2535"/>
      <c r="AH93" s="2535"/>
      <c r="AI93" s="2534"/>
      <c r="AJ93" s="2535"/>
      <c r="AK93" s="2535"/>
      <c r="AL93" s="1994"/>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c r="BG93" s="1644"/>
    </row>
    <row customHeight="1" ht="11.25">
      <c r="A94" s="1175" t="s">
        <v>1036</v>
      </c>
      <c r="B94" s="1175"/>
      <c r="C94" s="1175"/>
      <c r="D94" s="1169"/>
      <c r="E94" s="1179"/>
      <c r="F94" s="1837"/>
      <c r="G94" s="1838"/>
      <c r="H94" s="2543" t="s">
        <v>170</v>
      </c>
      <c r="I94" s="2544"/>
      <c r="J94" s="2513"/>
      <c r="K94" s="2545"/>
      <c r="L94" s="2135"/>
      <c r="M94" s="2136"/>
      <c r="N94" s="2536"/>
      <c r="O94" s="2537"/>
      <c r="P94" s="2540"/>
      <c r="Q94" s="2725"/>
      <c r="R94" s="2541"/>
      <c r="S94" s="2542"/>
      <c r="T94" s="2541"/>
      <c r="U94" s="2541"/>
      <c r="V94" s="2541"/>
      <c r="W94" s="2541"/>
      <c r="X94" s="2541"/>
      <c r="Y94" s="2541"/>
      <c r="Z94" s="1184"/>
      <c r="AA94" s="1185"/>
      <c r="AB94" s="1250" t="s">
        <v>1082</v>
      </c>
      <c r="AC94" s="1189"/>
      <c r="AD94" s="1189"/>
      <c r="AE94" s="1191"/>
      <c r="AF94" s="2534"/>
      <c r="AG94" s="2535"/>
      <c r="AH94" s="2535"/>
      <c r="AI94" s="2534"/>
      <c r="AJ94" s="2535"/>
      <c r="AK94" s="2535"/>
      <c r="AL94" s="1994"/>
      <c r="AM94" s="1831"/>
      <c r="AN94" s="1831"/>
      <c r="AO94" s="1831"/>
      <c r="AP94" s="1831"/>
      <c r="AQ94" s="1831"/>
      <c r="AR94" s="1831"/>
      <c r="AS94" s="1831"/>
      <c r="AT94" s="1831"/>
      <c r="AU94" s="1831"/>
      <c r="AV94" s="1831"/>
      <c r="AW94" s="1831"/>
      <c r="AX94" s="1831"/>
      <c r="AY94" s="1831"/>
      <c r="AZ94" s="1831"/>
      <c r="BA94" s="1831"/>
      <c r="BB94" s="1831"/>
      <c r="BC94" s="1831"/>
      <c r="BD94" s="1831"/>
      <c r="BE94" s="1831"/>
      <c r="BF94" s="1831"/>
      <c r="BG94" s="1644"/>
    </row>
    <row customHeight="1" ht="11.25">
      <c r="A95" s="1175" t="s">
        <v>1036</v>
      </c>
      <c r="B95" s="1175"/>
      <c r="C95" s="1175"/>
      <c r="D95" s="1169"/>
      <c r="E95" s="1179"/>
      <c r="F95" s="1837"/>
      <c r="G95" s="1838"/>
      <c r="H95" s="2543" t="s">
        <v>170</v>
      </c>
      <c r="I95" s="2544"/>
      <c r="J95" s="2513"/>
      <c r="K95" s="2545"/>
      <c r="L95" s="2135"/>
      <c r="M95" s="2136"/>
      <c r="N95" s="1184"/>
      <c r="O95" s="1185"/>
      <c r="P95" s="1177" t="s">
        <v>1083</v>
      </c>
      <c r="Q95" s="1185"/>
      <c r="R95" s="1185"/>
      <c r="S95" s="1185"/>
      <c r="T95" s="1185"/>
      <c r="U95" s="1185"/>
      <c r="V95" s="1185"/>
      <c r="W95" s="1185"/>
      <c r="X95" s="1185"/>
      <c r="Y95" s="1185"/>
      <c r="Z95" s="1185"/>
      <c r="AA95" s="1185"/>
      <c r="AB95" s="1185"/>
      <c r="AC95" s="1185"/>
      <c r="AD95" s="1185"/>
      <c r="AE95" s="1192"/>
      <c r="AF95" s="2534"/>
      <c r="AG95" s="2535"/>
      <c r="AH95" s="2535"/>
      <c r="AI95" s="2534"/>
      <c r="AJ95" s="2535"/>
      <c r="AK95" s="2535"/>
      <c r="AL95" s="1994"/>
      <c r="AM95" s="1831"/>
      <c r="AN95" s="1831"/>
      <c r="AO95" s="1831"/>
      <c r="AP95" s="1831"/>
      <c r="AQ95" s="1831"/>
      <c r="AR95" s="1831"/>
      <c r="AS95" s="1831"/>
      <c r="AT95" s="1831"/>
      <c r="AU95" s="1831"/>
      <c r="AV95" s="1831"/>
      <c r="AW95" s="1831"/>
      <c r="AX95" s="1831"/>
      <c r="AY95" s="1831"/>
      <c r="AZ95" s="1831"/>
      <c r="BA95" s="1831"/>
      <c r="BB95" s="1831"/>
      <c r="BC95" s="1831"/>
      <c r="BD95" s="1831"/>
      <c r="BE95" s="1831"/>
      <c r="BF95" s="1831"/>
      <c r="BG95" s="1644"/>
    </row>
    <row customHeight="1" ht="11.25">
      <c r="A96" s="1175" t="s">
        <v>1036</v>
      </c>
      <c r="B96" s="1175" t="s">
        <v>1068</v>
      </c>
      <c r="C96" s="1175"/>
      <c r="D96" s="1169"/>
      <c r="E96" s="1179"/>
      <c r="F96" s="1837"/>
      <c r="G96" s="692" t="s">
        <v>104</v>
      </c>
      <c r="H96" s="2543" t="s">
        <v>1123</v>
      </c>
      <c r="I96" s="2544" t="s">
        <v>1069</v>
      </c>
      <c r="J96" s="2513" t="s">
        <v>1092</v>
      </c>
      <c r="K96" s="2545" t="s">
        <v>1124</v>
      </c>
      <c r="L96" s="2135" t="s">
        <v>19</v>
      </c>
      <c r="M96" s="2136"/>
      <c r="N96" s="1992"/>
      <c r="O96" s="1186" t="s">
        <v>391</v>
      </c>
      <c r="P96" s="1187"/>
      <c r="Q96" s="1187"/>
      <c r="R96" s="1187"/>
      <c r="S96" s="1187"/>
      <c r="T96" s="1187"/>
      <c r="U96" s="1187"/>
      <c r="V96" s="1187"/>
      <c r="W96" s="1187"/>
      <c r="X96" s="1187"/>
      <c r="Y96" s="1187"/>
      <c r="Z96" s="1187"/>
      <c r="AA96" s="1187"/>
      <c r="AB96" s="1187"/>
      <c r="AC96" s="1187"/>
      <c r="AD96" s="1187"/>
      <c r="AE96" s="1187"/>
      <c r="AF96" s="2534">
        <v>1</v>
      </c>
      <c r="AG96" s="2535" t="s">
        <v>1094</v>
      </c>
      <c r="AH96" s="2535" t="s">
        <v>1085</v>
      </c>
      <c r="AI96" s="2534">
        <v>1</v>
      </c>
      <c r="AJ96" s="2535" t="s">
        <v>1095</v>
      </c>
      <c r="AK96" s="2535" t="s">
        <v>1085</v>
      </c>
      <c r="AL96" s="1994"/>
      <c r="AM96" s="1831"/>
      <c r="AN96" s="1831"/>
      <c r="AO96" s="1831"/>
      <c r="AP96" s="1831"/>
      <c r="AQ96" s="1831"/>
      <c r="AR96" s="1831"/>
      <c r="AS96" s="1831"/>
      <c r="AT96" s="1831"/>
      <c r="AU96" s="1831"/>
      <c r="AV96" s="1831"/>
      <c r="AW96" s="1831"/>
      <c r="AX96" s="1831"/>
      <c r="AY96" s="1831"/>
      <c r="AZ96" s="1831"/>
      <c r="BA96" s="1831"/>
      <c r="BB96" s="1831"/>
      <c r="BC96" s="1831"/>
      <c r="BD96" s="1831"/>
      <c r="BE96" s="1831"/>
      <c r="BF96" s="1831"/>
      <c r="BG96" s="1644"/>
    </row>
    <row customHeight="1" ht="11.25">
      <c r="A97" s="1175" t="s">
        <v>1036</v>
      </c>
      <c r="B97" s="1175"/>
      <c r="C97" s="1175"/>
      <c r="D97" s="1169"/>
      <c r="E97" s="1179"/>
      <c r="F97" s="1837"/>
      <c r="G97" s="1838"/>
      <c r="H97" s="2543" t="s">
        <v>1121</v>
      </c>
      <c r="I97" s="2544"/>
      <c r="J97" s="2513"/>
      <c r="K97" s="2545"/>
      <c r="L97" s="2135"/>
      <c r="M97" s="2136"/>
      <c r="N97" s="2536"/>
      <c r="O97" s="2537">
        <v>1</v>
      </c>
      <c r="P97" s="2538" t="s">
        <v>63</v>
      </c>
      <c r="Q97" s="2725" t="s">
        <v>1101</v>
      </c>
      <c r="R97" s="2726" t="s">
        <v>1076</v>
      </c>
      <c r="S97" s="2726" t="s">
        <v>106</v>
      </c>
      <c r="T97" s="2726" t="s">
        <v>106</v>
      </c>
      <c r="U97" s="2726" t="s">
        <v>107</v>
      </c>
      <c r="V97" s="2726" t="s">
        <v>1077</v>
      </c>
      <c r="W97" s="2726" t="s">
        <v>1078</v>
      </c>
      <c r="X97" s="2726" t="s">
        <v>1102</v>
      </c>
      <c r="Y97" s="2726" t="s">
        <v>1103</v>
      </c>
      <c r="Z97" s="1184"/>
      <c r="AA97" s="1185"/>
      <c r="AB97" s="1185"/>
      <c r="AC97" s="1189"/>
      <c r="AD97" s="1189"/>
      <c r="AE97" s="1190"/>
      <c r="AF97" s="2534"/>
      <c r="AG97" s="2535"/>
      <c r="AH97" s="2535"/>
      <c r="AI97" s="2534"/>
      <c r="AJ97" s="2535"/>
      <c r="AK97" s="2535"/>
      <c r="AL97" s="1994"/>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c r="BG97" s="1644"/>
    </row>
    <row customHeight="1" ht="11.25">
      <c r="A98" s="1175" t="s">
        <v>1036</v>
      </c>
      <c r="B98" s="1175"/>
      <c r="C98" s="1175"/>
      <c r="D98" s="1169"/>
      <c r="E98" s="1179"/>
      <c r="F98" s="1837"/>
      <c r="G98" s="1838"/>
      <c r="H98" s="2543" t="s">
        <v>1121</v>
      </c>
      <c r="I98" s="2544"/>
      <c r="J98" s="2513"/>
      <c r="K98" s="2545"/>
      <c r="L98" s="2135"/>
      <c r="M98" s="2136"/>
      <c r="N98" s="2536"/>
      <c r="O98" s="2537"/>
      <c r="P98" s="2539"/>
      <c r="Q98" s="2725"/>
      <c r="R98" s="2541"/>
      <c r="S98" s="2542"/>
      <c r="T98" s="2541"/>
      <c r="U98" s="2541"/>
      <c r="V98" s="2541"/>
      <c r="W98" s="2541"/>
      <c r="X98" s="2541"/>
      <c r="Y98" s="2541"/>
      <c r="Z98" s="1836"/>
      <c r="AA98" s="1802">
        <v>1</v>
      </c>
      <c r="AB98" s="1188" t="s">
        <v>1125</v>
      </c>
      <c r="AC98" s="1178">
        <v>2024.33</v>
      </c>
      <c r="AD98" s="1188" t="str">
        <f>AB98</f>
        <v>  Прочие</v>
      </c>
      <c r="AE98" s="1178">
        <v>2024.33</v>
      </c>
      <c r="AF98" s="2534"/>
      <c r="AG98" s="2535"/>
      <c r="AH98" s="2535"/>
      <c r="AI98" s="2534"/>
      <c r="AJ98" s="2535"/>
      <c r="AK98" s="2535"/>
      <c r="AL98" s="1994"/>
      <c r="AM98" s="1831"/>
      <c r="AN98" s="1831"/>
      <c r="AO98" s="1831"/>
      <c r="AP98" s="1831"/>
      <c r="AQ98" s="1831"/>
      <c r="AR98" s="1831"/>
      <c r="AS98" s="1831"/>
      <c r="AT98" s="1831"/>
      <c r="AU98" s="1831"/>
      <c r="AV98" s="1831"/>
      <c r="AW98" s="1831"/>
      <c r="AX98" s="1831"/>
      <c r="AY98" s="1831"/>
      <c r="AZ98" s="1831"/>
      <c r="BA98" s="1831"/>
      <c r="BB98" s="1831"/>
      <c r="BC98" s="1831"/>
      <c r="BD98" s="1831"/>
      <c r="BE98" s="1831"/>
      <c r="BF98" s="1831"/>
      <c r="BG98" s="1644"/>
    </row>
    <row customHeight="1" ht="11.25">
      <c r="A99" s="1175" t="s">
        <v>1036</v>
      </c>
      <c r="B99" s="1175"/>
      <c r="C99" s="1175"/>
      <c r="D99" s="1169"/>
      <c r="E99" s="1179"/>
      <c r="F99" s="1837"/>
      <c r="G99" s="1838"/>
      <c r="H99" s="2543" t="s">
        <v>1121</v>
      </c>
      <c r="I99" s="2544"/>
      <c r="J99" s="2513"/>
      <c r="K99" s="2545"/>
      <c r="L99" s="2135"/>
      <c r="M99" s="2136"/>
      <c r="N99" s="2536"/>
      <c r="O99" s="2537"/>
      <c r="P99" s="2540"/>
      <c r="Q99" s="2725"/>
      <c r="R99" s="2541"/>
      <c r="S99" s="2542"/>
      <c r="T99" s="2541"/>
      <c r="U99" s="2541"/>
      <c r="V99" s="2541"/>
      <c r="W99" s="2541"/>
      <c r="X99" s="2541"/>
      <c r="Y99" s="2541"/>
      <c r="Z99" s="1184"/>
      <c r="AA99" s="1185"/>
      <c r="AB99" s="1250" t="s">
        <v>1082</v>
      </c>
      <c r="AC99" s="1189"/>
      <c r="AD99" s="1189"/>
      <c r="AE99" s="1191"/>
      <c r="AF99" s="2534"/>
      <c r="AG99" s="2535"/>
      <c r="AH99" s="2535"/>
      <c r="AI99" s="2534"/>
      <c r="AJ99" s="2535"/>
      <c r="AK99" s="2535"/>
      <c r="AL99" s="1994"/>
      <c r="AM99" s="1831"/>
      <c r="AN99" s="1831"/>
      <c r="AO99" s="1831"/>
      <c r="AP99" s="1831"/>
      <c r="AQ99" s="1831"/>
      <c r="AR99" s="1831"/>
      <c r="AS99" s="1831"/>
      <c r="AT99" s="1831"/>
      <c r="AU99" s="1831"/>
      <c r="AV99" s="1831"/>
      <c r="AW99" s="1831"/>
      <c r="AX99" s="1831"/>
      <c r="AY99" s="1831"/>
      <c r="AZ99" s="1831"/>
      <c r="BA99" s="1831"/>
      <c r="BB99" s="1831"/>
      <c r="BC99" s="1831"/>
      <c r="BD99" s="1831"/>
      <c r="BE99" s="1831"/>
      <c r="BF99" s="1831"/>
      <c r="BG99" s="1644"/>
    </row>
    <row customHeight="1" ht="11.25">
      <c r="A100" s="1175" t="s">
        <v>1036</v>
      </c>
      <c r="B100" s="1175"/>
      <c r="C100" s="1175"/>
      <c r="D100" s="1169"/>
      <c r="E100" s="1179"/>
      <c r="F100" s="1837"/>
      <c r="G100" s="1838"/>
      <c r="H100" s="2543" t="s">
        <v>1121</v>
      </c>
      <c r="I100" s="2544"/>
      <c r="J100" s="2513"/>
      <c r="K100" s="2545"/>
      <c r="L100" s="2135"/>
      <c r="M100" s="2136"/>
      <c r="N100" s="1184"/>
      <c r="O100" s="1185"/>
      <c r="P100" s="1177" t="s">
        <v>1083</v>
      </c>
      <c r="Q100" s="1185"/>
      <c r="R100" s="1185"/>
      <c r="S100" s="1185"/>
      <c r="T100" s="1185"/>
      <c r="U100" s="1185"/>
      <c r="V100" s="1185"/>
      <c r="W100" s="1185"/>
      <c r="X100" s="1185"/>
      <c r="Y100" s="1185"/>
      <c r="Z100" s="1185"/>
      <c r="AA100" s="1185"/>
      <c r="AB100" s="1185"/>
      <c r="AC100" s="1185"/>
      <c r="AD100" s="1185"/>
      <c r="AE100" s="1192"/>
      <c r="AF100" s="2534"/>
      <c r="AG100" s="2535"/>
      <c r="AH100" s="2535"/>
      <c r="AI100" s="2534"/>
      <c r="AJ100" s="2535"/>
      <c r="AK100" s="2535"/>
      <c r="AL100" s="1994"/>
      <c r="AM100" s="1831"/>
      <c r="AN100" s="1831"/>
      <c r="AO100" s="1831"/>
      <c r="AP100" s="1831"/>
      <c r="AQ100" s="1831"/>
      <c r="AR100" s="1831"/>
      <c r="AS100" s="1831"/>
      <c r="AT100" s="1831"/>
      <c r="AU100" s="1831"/>
      <c r="AV100" s="1831"/>
      <c r="AW100" s="1831"/>
      <c r="AX100" s="1831"/>
      <c r="AY100" s="1831"/>
      <c r="AZ100" s="1831"/>
      <c r="BA100" s="1831"/>
      <c r="BB100" s="1831"/>
      <c r="BC100" s="1831"/>
      <c r="BD100" s="1831"/>
      <c r="BE100" s="1831"/>
      <c r="BF100" s="1831"/>
      <c r="BG100" s="1644"/>
    </row>
    <row customHeight="1" ht="11.25">
      <c r="A101" s="1175" t="s">
        <v>1036</v>
      </c>
      <c r="B101" s="1175" t="s">
        <v>1068</v>
      </c>
      <c r="C101" s="1175"/>
      <c r="D101" s="1169"/>
      <c r="E101" s="1179"/>
      <c r="F101" s="1837"/>
      <c r="G101" s="692" t="s">
        <v>104</v>
      </c>
      <c r="H101" s="2543" t="s">
        <v>1126</v>
      </c>
      <c r="I101" s="2544" t="s">
        <v>1069</v>
      </c>
      <c r="J101" s="2513" t="s">
        <v>1092</v>
      </c>
      <c r="K101" s="2545" t="s">
        <v>1127</v>
      </c>
      <c r="L101" s="2135" t="s">
        <v>19</v>
      </c>
      <c r="M101" s="2136"/>
      <c r="N101" s="1992"/>
      <c r="O101" s="1186" t="s">
        <v>391</v>
      </c>
      <c r="P101" s="1187"/>
      <c r="Q101" s="1187"/>
      <c r="R101" s="1187"/>
      <c r="S101" s="1187"/>
      <c r="T101" s="1187"/>
      <c r="U101" s="1187"/>
      <c r="V101" s="1187"/>
      <c r="W101" s="1187"/>
      <c r="X101" s="1187"/>
      <c r="Y101" s="1187"/>
      <c r="Z101" s="1187"/>
      <c r="AA101" s="1187"/>
      <c r="AB101" s="1187"/>
      <c r="AC101" s="1187"/>
      <c r="AD101" s="1187"/>
      <c r="AE101" s="1187"/>
      <c r="AF101" s="2534">
        <v>1</v>
      </c>
      <c r="AG101" s="2535" t="s">
        <v>1094</v>
      </c>
      <c r="AH101" s="2535" t="s">
        <v>1085</v>
      </c>
      <c r="AI101" s="2534">
        <v>1</v>
      </c>
      <c r="AJ101" s="2535" t="s">
        <v>1095</v>
      </c>
      <c r="AK101" s="2535" t="s">
        <v>1085</v>
      </c>
      <c r="AL101" s="1994"/>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c r="BG101" s="1644"/>
    </row>
    <row customHeight="1" ht="11.25">
      <c r="A102" s="1175" t="s">
        <v>1036</v>
      </c>
      <c r="B102" s="1175"/>
      <c r="C102" s="1175"/>
      <c r="D102" s="1169"/>
      <c r="E102" s="1179"/>
      <c r="F102" s="1837"/>
      <c r="G102" s="1838"/>
      <c r="H102" s="2543" t="s">
        <v>1123</v>
      </c>
      <c r="I102" s="2544"/>
      <c r="J102" s="2513"/>
      <c r="K102" s="2545"/>
      <c r="L102" s="2135"/>
      <c r="M102" s="2136"/>
      <c r="N102" s="2536"/>
      <c r="O102" s="2537">
        <v>1</v>
      </c>
      <c r="P102" s="2538" t="s">
        <v>63</v>
      </c>
      <c r="Q102" s="2725" t="s">
        <v>1096</v>
      </c>
      <c r="R102" s="2726" t="s">
        <v>1097</v>
      </c>
      <c r="S102" s="2726" t="s">
        <v>106</v>
      </c>
      <c r="T102" s="2726" t="s">
        <v>106</v>
      </c>
      <c r="U102" s="2726" t="s">
        <v>107</v>
      </c>
      <c r="V102" s="2726" t="s">
        <v>1077</v>
      </c>
      <c r="W102" s="2726" t="s">
        <v>1078</v>
      </c>
      <c r="X102" s="2726" t="s">
        <v>1098</v>
      </c>
      <c r="Y102" s="2726" t="s">
        <v>1099</v>
      </c>
      <c r="Z102" s="1184"/>
      <c r="AA102" s="1185"/>
      <c r="AB102" s="1185"/>
      <c r="AC102" s="1189"/>
      <c r="AD102" s="1189"/>
      <c r="AE102" s="1190"/>
      <c r="AF102" s="2534"/>
      <c r="AG102" s="2535"/>
      <c r="AH102" s="2535"/>
      <c r="AI102" s="2534"/>
      <c r="AJ102" s="2535"/>
      <c r="AK102" s="2535"/>
      <c r="AL102" s="1994"/>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c r="BG102" s="1644"/>
    </row>
    <row customHeight="1" ht="11.25">
      <c r="A103" s="1175" t="s">
        <v>1036</v>
      </c>
      <c r="B103" s="1175"/>
      <c r="C103" s="1175"/>
      <c r="D103" s="1169"/>
      <c r="E103" s="1179"/>
      <c r="F103" s="1837"/>
      <c r="G103" s="1838"/>
      <c r="H103" s="2543" t="s">
        <v>1123</v>
      </c>
      <c r="I103" s="2544"/>
      <c r="J103" s="2513"/>
      <c r="K103" s="2545"/>
      <c r="L103" s="2135"/>
      <c r="M103" s="2136"/>
      <c r="N103" s="2536"/>
      <c r="O103" s="2537"/>
      <c r="P103" s="2539"/>
      <c r="Q103" s="2725"/>
      <c r="R103" s="2541"/>
      <c r="S103" s="2542"/>
      <c r="T103" s="2541"/>
      <c r="U103" s="2541"/>
      <c r="V103" s="2541"/>
      <c r="W103" s="2541"/>
      <c r="X103" s="2541"/>
      <c r="Y103" s="2541"/>
      <c r="Z103" s="1836"/>
      <c r="AA103" s="1802">
        <v>1</v>
      </c>
      <c r="AB103" s="1188" t="s">
        <v>1125</v>
      </c>
      <c r="AC103" s="1178">
        <v>1430.01</v>
      </c>
      <c r="AD103" s="1188" t="str">
        <f>AB103</f>
        <v>  Прочие</v>
      </c>
      <c r="AE103" s="1178">
        <v>1430.01</v>
      </c>
      <c r="AF103" s="2534"/>
      <c r="AG103" s="2535"/>
      <c r="AH103" s="2535"/>
      <c r="AI103" s="2534"/>
      <c r="AJ103" s="2535"/>
      <c r="AK103" s="2535"/>
      <c r="AL103" s="1994"/>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c r="BG103" s="1644"/>
    </row>
    <row customHeight="1" ht="11.25">
      <c r="A104" s="1175" t="s">
        <v>1036</v>
      </c>
      <c r="B104" s="1175"/>
      <c r="C104" s="1175"/>
      <c r="D104" s="1169"/>
      <c r="E104" s="1179"/>
      <c r="F104" s="1837"/>
      <c r="G104" s="1838"/>
      <c r="H104" s="2543" t="s">
        <v>1123</v>
      </c>
      <c r="I104" s="2544"/>
      <c r="J104" s="2513"/>
      <c r="K104" s="2545"/>
      <c r="L104" s="2135"/>
      <c r="M104" s="2136"/>
      <c r="N104" s="2536"/>
      <c r="O104" s="2537"/>
      <c r="P104" s="2540"/>
      <c r="Q104" s="2725"/>
      <c r="R104" s="2541"/>
      <c r="S104" s="2542"/>
      <c r="T104" s="2541"/>
      <c r="U104" s="2541"/>
      <c r="V104" s="2541"/>
      <c r="W104" s="2541"/>
      <c r="X104" s="2541"/>
      <c r="Y104" s="2541"/>
      <c r="Z104" s="1184"/>
      <c r="AA104" s="1185"/>
      <c r="AB104" s="1250" t="s">
        <v>1082</v>
      </c>
      <c r="AC104" s="1189"/>
      <c r="AD104" s="1189"/>
      <c r="AE104" s="1191"/>
      <c r="AF104" s="2534"/>
      <c r="AG104" s="2535"/>
      <c r="AH104" s="2535"/>
      <c r="AI104" s="2534"/>
      <c r="AJ104" s="2535"/>
      <c r="AK104" s="2535"/>
      <c r="AL104" s="1994"/>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c r="BG104" s="1644"/>
    </row>
    <row customHeight="1" ht="11.25">
      <c r="A105" s="1175" t="s">
        <v>1036</v>
      </c>
      <c r="B105" s="1175"/>
      <c r="C105" s="1175"/>
      <c r="D105" s="1169"/>
      <c r="E105" s="1179"/>
      <c r="F105" s="1837"/>
      <c r="G105" s="1838"/>
      <c r="H105" s="2543" t="s">
        <v>1123</v>
      </c>
      <c r="I105" s="2544"/>
      <c r="J105" s="2513"/>
      <c r="K105" s="2545"/>
      <c r="L105" s="2135"/>
      <c r="M105" s="2136"/>
      <c r="N105" s="1184"/>
      <c r="O105" s="1185"/>
      <c r="P105" s="1177" t="s">
        <v>1083</v>
      </c>
      <c r="Q105" s="1185"/>
      <c r="R105" s="1185"/>
      <c r="S105" s="1185"/>
      <c r="T105" s="1185"/>
      <c r="U105" s="1185"/>
      <c r="V105" s="1185"/>
      <c r="W105" s="1185"/>
      <c r="X105" s="1185"/>
      <c r="Y105" s="1185"/>
      <c r="Z105" s="1185"/>
      <c r="AA105" s="1185"/>
      <c r="AB105" s="1185"/>
      <c r="AC105" s="1185"/>
      <c r="AD105" s="1185"/>
      <c r="AE105" s="1192"/>
      <c r="AF105" s="2534"/>
      <c r="AG105" s="2535"/>
      <c r="AH105" s="2535"/>
      <c r="AI105" s="2534"/>
      <c r="AJ105" s="2535"/>
      <c r="AK105" s="2535"/>
      <c r="AL105" s="1994"/>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c r="BG105" s="1644"/>
    </row>
    <row customHeight="1" ht="11.25">
      <c r="A106" s="1175" t="s">
        <v>1036</v>
      </c>
      <c r="B106" s="1175" t="s">
        <v>1068</v>
      </c>
      <c r="C106" s="1175"/>
      <c r="D106" s="1169"/>
      <c r="E106" s="1179"/>
      <c r="F106" s="1837"/>
      <c r="G106" s="692" t="s">
        <v>104</v>
      </c>
      <c r="H106" s="2543" t="s">
        <v>1128</v>
      </c>
      <c r="I106" s="2544" t="s">
        <v>1069</v>
      </c>
      <c r="J106" s="2513" t="s">
        <v>1092</v>
      </c>
      <c r="K106" s="2545" t="s">
        <v>1129</v>
      </c>
      <c r="L106" s="2135" t="s">
        <v>19</v>
      </c>
      <c r="M106" s="2136"/>
      <c r="N106" s="1992"/>
      <c r="O106" s="1186" t="s">
        <v>391</v>
      </c>
      <c r="P106" s="1187"/>
      <c r="Q106" s="1187"/>
      <c r="R106" s="1187"/>
      <c r="S106" s="1187"/>
      <c r="T106" s="1187"/>
      <c r="U106" s="1187"/>
      <c r="V106" s="1187"/>
      <c r="W106" s="1187"/>
      <c r="X106" s="1187"/>
      <c r="Y106" s="1187"/>
      <c r="Z106" s="1187"/>
      <c r="AA106" s="1187"/>
      <c r="AB106" s="1187"/>
      <c r="AC106" s="1187"/>
      <c r="AD106" s="1187"/>
      <c r="AE106" s="1187"/>
      <c r="AF106" s="2534">
        <v>2</v>
      </c>
      <c r="AG106" s="2535" t="s">
        <v>1094</v>
      </c>
      <c r="AH106" s="2535" t="s">
        <v>1073</v>
      </c>
      <c r="AI106" s="2906">
        <v>1</v>
      </c>
      <c r="AJ106" s="2535" t="s">
        <v>1072</v>
      </c>
      <c r="AK106" s="2535" t="s">
        <v>1085</v>
      </c>
      <c r="AL106" s="1994"/>
      <c r="AM106" s="1831"/>
      <c r="AN106" s="1831"/>
      <c r="AO106" s="1831"/>
      <c r="AP106" s="1831"/>
      <c r="AQ106" s="1831"/>
      <c r="AR106" s="1831"/>
      <c r="AS106" s="1831"/>
      <c r="AT106" s="1831"/>
      <c r="AU106" s="1831"/>
      <c r="AV106" s="1831"/>
      <c r="AW106" s="1831"/>
      <c r="AX106" s="1831"/>
      <c r="AY106" s="1831"/>
      <c r="AZ106" s="1831"/>
      <c r="BA106" s="1831"/>
      <c r="BB106" s="1831"/>
      <c r="BC106" s="1831"/>
      <c r="BD106" s="1831"/>
      <c r="BE106" s="1831"/>
      <c r="BF106" s="1831"/>
      <c r="BG106" s="1644"/>
    </row>
    <row customHeight="1" ht="11.25">
      <c r="A107" s="1175" t="s">
        <v>1036</v>
      </c>
      <c r="B107" s="1175"/>
      <c r="C107" s="1175"/>
      <c r="D107" s="1169"/>
      <c r="E107" s="1179"/>
      <c r="F107" s="1837"/>
      <c r="G107" s="1838"/>
      <c r="H107" s="2543" t="s">
        <v>1126</v>
      </c>
      <c r="I107" s="2544"/>
      <c r="J107" s="2513"/>
      <c r="K107" s="2545"/>
      <c r="L107" s="2135"/>
      <c r="M107" s="2136"/>
      <c r="N107" s="2536"/>
      <c r="O107" s="2537">
        <v>1</v>
      </c>
      <c r="P107" s="2538" t="s">
        <v>63</v>
      </c>
      <c r="Q107" s="2725" t="s">
        <v>1096</v>
      </c>
      <c r="R107" s="2726" t="s">
        <v>1097</v>
      </c>
      <c r="S107" s="2726" t="s">
        <v>106</v>
      </c>
      <c r="T107" s="2726" t="s">
        <v>106</v>
      </c>
      <c r="U107" s="2726" t="s">
        <v>107</v>
      </c>
      <c r="V107" s="2726" t="s">
        <v>1077</v>
      </c>
      <c r="W107" s="2726" t="s">
        <v>1078</v>
      </c>
      <c r="X107" s="2726" t="s">
        <v>1098</v>
      </c>
      <c r="Y107" s="2726" t="s">
        <v>1099</v>
      </c>
      <c r="Z107" s="1184"/>
      <c r="AA107" s="1185"/>
      <c r="AB107" s="1185"/>
      <c r="AC107" s="1189"/>
      <c r="AD107" s="1189"/>
      <c r="AE107" s="1190"/>
      <c r="AF107" s="2534"/>
      <c r="AG107" s="2535"/>
      <c r="AH107" s="2535"/>
      <c r="AI107" s="2906"/>
      <c r="AJ107" s="2535"/>
      <c r="AK107" s="2535"/>
      <c r="AL107" s="1994"/>
      <c r="AM107" s="1831"/>
      <c r="AN107" s="1831"/>
      <c r="AO107" s="1831"/>
      <c r="AP107" s="1831"/>
      <c r="AQ107" s="1831"/>
      <c r="AR107" s="1831"/>
      <c r="AS107" s="1831"/>
      <c r="AT107" s="1831"/>
      <c r="AU107" s="1831"/>
      <c r="AV107" s="1831"/>
      <c r="AW107" s="1831"/>
      <c r="AX107" s="1831"/>
      <c r="AY107" s="1831"/>
      <c r="AZ107" s="1831"/>
      <c r="BA107" s="1831"/>
      <c r="BB107" s="1831"/>
      <c r="BC107" s="1831"/>
      <c r="BD107" s="1831"/>
      <c r="BE107" s="1831"/>
      <c r="BF107" s="1831"/>
      <c r="BG107" s="1644"/>
    </row>
    <row customHeight="1" ht="11.25">
      <c r="A108" s="1175" t="s">
        <v>1036</v>
      </c>
      <c r="B108" s="1175"/>
      <c r="C108" s="1175"/>
      <c r="D108" s="1169"/>
      <c r="E108" s="1179"/>
      <c r="F108" s="1837"/>
      <c r="G108" s="1838"/>
      <c r="H108" s="2543" t="s">
        <v>1126</v>
      </c>
      <c r="I108" s="2544"/>
      <c r="J108" s="2513"/>
      <c r="K108" s="2545"/>
      <c r="L108" s="2135"/>
      <c r="M108" s="2136"/>
      <c r="N108" s="2536"/>
      <c r="O108" s="2537"/>
      <c r="P108" s="2539"/>
      <c r="Q108" s="2725"/>
      <c r="R108" s="2541"/>
      <c r="S108" s="2542"/>
      <c r="T108" s="2541"/>
      <c r="U108" s="2541"/>
      <c r="V108" s="2541"/>
      <c r="W108" s="2541"/>
      <c r="X108" s="2541"/>
      <c r="Y108" s="2541"/>
      <c r="Z108" s="1836"/>
      <c r="AA108" s="1802">
        <v>1</v>
      </c>
      <c r="AB108" s="1188" t="s">
        <v>1125</v>
      </c>
      <c r="AC108" s="1178">
        <v>25328.7</v>
      </c>
      <c r="AD108" s="1188" t="str">
        <f>AB108</f>
        <v>  Прочие</v>
      </c>
      <c r="AE108" s="1178">
        <v>21514.22</v>
      </c>
      <c r="AF108" s="2534"/>
      <c r="AG108" s="2535"/>
      <c r="AH108" s="2535"/>
      <c r="AI108" s="2906"/>
      <c r="AJ108" s="2535"/>
      <c r="AK108" s="2535"/>
      <c r="AL108" s="1994"/>
      <c r="AM108" s="1831"/>
      <c r="AN108" s="1831"/>
      <c r="AO108" s="1831"/>
      <c r="AP108" s="1831"/>
      <c r="AQ108" s="1831"/>
      <c r="AR108" s="1831"/>
      <c r="AS108" s="1831"/>
      <c r="AT108" s="1831"/>
      <c r="AU108" s="1831"/>
      <c r="AV108" s="1831"/>
      <c r="AW108" s="1831"/>
      <c r="AX108" s="1831"/>
      <c r="AY108" s="1831"/>
      <c r="AZ108" s="1831"/>
      <c r="BA108" s="1831"/>
      <c r="BB108" s="1831"/>
      <c r="BC108" s="1831"/>
      <c r="BD108" s="1831"/>
      <c r="BE108" s="1831"/>
      <c r="BF108" s="1831"/>
      <c r="BG108" s="1644"/>
    </row>
    <row customHeight="1" ht="11.25">
      <c r="A109" s="1175" t="s">
        <v>1036</v>
      </c>
      <c r="B109" s="1175"/>
      <c r="C109" s="1175"/>
      <c r="D109" s="1169"/>
      <c r="E109" s="1179"/>
      <c r="F109" s="1837"/>
      <c r="G109" s="1838"/>
      <c r="H109" s="2543" t="s">
        <v>1126</v>
      </c>
      <c r="I109" s="2544"/>
      <c r="J109" s="2513"/>
      <c r="K109" s="2545"/>
      <c r="L109" s="2135"/>
      <c r="M109" s="2136"/>
      <c r="N109" s="2536"/>
      <c r="O109" s="2537"/>
      <c r="P109" s="2540"/>
      <c r="Q109" s="2725"/>
      <c r="R109" s="2541"/>
      <c r="S109" s="2542"/>
      <c r="T109" s="2541"/>
      <c r="U109" s="2541"/>
      <c r="V109" s="2541"/>
      <c r="W109" s="2541"/>
      <c r="X109" s="2541"/>
      <c r="Y109" s="2541"/>
      <c r="Z109" s="1184"/>
      <c r="AA109" s="1185"/>
      <c r="AB109" s="1250" t="s">
        <v>1082</v>
      </c>
      <c r="AC109" s="1189"/>
      <c r="AD109" s="1189"/>
      <c r="AE109" s="1191"/>
      <c r="AF109" s="2534"/>
      <c r="AG109" s="2535"/>
      <c r="AH109" s="2535"/>
      <c r="AI109" s="2906"/>
      <c r="AJ109" s="2535"/>
      <c r="AK109" s="2535"/>
      <c r="AL109" s="1994"/>
      <c r="AM109" s="1831"/>
      <c r="AN109" s="1831"/>
      <c r="AO109" s="1831"/>
      <c r="AP109" s="1831"/>
      <c r="AQ109" s="1831"/>
      <c r="AR109" s="1831"/>
      <c r="AS109" s="1831"/>
      <c r="AT109" s="1831"/>
      <c r="AU109" s="1831"/>
      <c r="AV109" s="1831"/>
      <c r="AW109" s="1831"/>
      <c r="AX109" s="1831"/>
      <c r="AY109" s="1831"/>
      <c r="AZ109" s="1831"/>
      <c r="BA109" s="1831"/>
      <c r="BB109" s="1831"/>
      <c r="BC109" s="1831"/>
      <c r="BD109" s="1831"/>
      <c r="BE109" s="1831"/>
      <c r="BF109" s="1831"/>
      <c r="BG109" s="1644"/>
    </row>
    <row customHeight="1" ht="11.25">
      <c r="A110" s="1175" t="s">
        <v>1036</v>
      </c>
      <c r="B110" s="1175"/>
      <c r="C110" s="1175"/>
      <c r="D110" s="1169"/>
      <c r="E110" s="1179"/>
      <c r="F110" s="1837"/>
      <c r="G110" s="1838"/>
      <c r="H110" s="2543" t="s">
        <v>1126</v>
      </c>
      <c r="I110" s="2544"/>
      <c r="J110" s="2513"/>
      <c r="K110" s="2545"/>
      <c r="L110" s="2135"/>
      <c r="M110" s="2136"/>
      <c r="N110" s="1184"/>
      <c r="O110" s="1185"/>
      <c r="P110" s="1177" t="s">
        <v>1083</v>
      </c>
      <c r="Q110" s="1185"/>
      <c r="R110" s="1185"/>
      <c r="S110" s="1185"/>
      <c r="T110" s="1185"/>
      <c r="U110" s="1185"/>
      <c r="V110" s="1185"/>
      <c r="W110" s="1185"/>
      <c r="X110" s="1185"/>
      <c r="Y110" s="1185"/>
      <c r="Z110" s="1185"/>
      <c r="AA110" s="1185"/>
      <c r="AB110" s="1185"/>
      <c r="AC110" s="1185"/>
      <c r="AD110" s="1185"/>
      <c r="AE110" s="1192"/>
      <c r="AF110" s="2534"/>
      <c r="AG110" s="2535"/>
      <c r="AH110" s="2535"/>
      <c r="AI110" s="2906"/>
      <c r="AJ110" s="2535"/>
      <c r="AK110" s="2535"/>
      <c r="AL110" s="1994"/>
      <c r="AM110" s="1831"/>
      <c r="AN110" s="1831"/>
      <c r="AO110" s="1831"/>
      <c r="AP110" s="1831"/>
      <c r="AQ110" s="1831"/>
      <c r="AR110" s="1831"/>
      <c r="AS110" s="1831"/>
      <c r="AT110" s="1831"/>
      <c r="AU110" s="1831"/>
      <c r="AV110" s="1831"/>
      <c r="AW110" s="1831"/>
      <c r="AX110" s="1831"/>
      <c r="AY110" s="1831"/>
      <c r="AZ110" s="1831"/>
      <c r="BA110" s="1831"/>
      <c r="BB110" s="1831"/>
      <c r="BC110" s="1831"/>
      <c r="BD110" s="1831"/>
      <c r="BE110" s="1831"/>
      <c r="BF110" s="1831"/>
      <c r="BG110" s="1644"/>
    </row>
    <row customHeight="1" ht="11.25">
      <c r="A111" s="1175" t="s">
        <v>1036</v>
      </c>
      <c r="B111" s="1175" t="s">
        <v>1068</v>
      </c>
      <c r="C111" s="1175"/>
      <c r="D111" s="1169"/>
      <c r="E111" s="1179"/>
      <c r="F111" s="1837"/>
      <c r="G111" s="692" t="s">
        <v>104</v>
      </c>
      <c r="H111" s="2543" t="s">
        <v>1130</v>
      </c>
      <c r="I111" s="2544" t="s">
        <v>1069</v>
      </c>
      <c r="J111" s="2513" t="s">
        <v>1092</v>
      </c>
      <c r="K111" s="2545" t="s">
        <v>1131</v>
      </c>
      <c r="L111" s="2135" t="s">
        <v>19</v>
      </c>
      <c r="M111" s="2136"/>
      <c r="N111" s="1992"/>
      <c r="O111" s="1186" t="s">
        <v>391</v>
      </c>
      <c r="P111" s="1187"/>
      <c r="Q111" s="1187"/>
      <c r="R111" s="1187"/>
      <c r="S111" s="1187"/>
      <c r="T111" s="1187"/>
      <c r="U111" s="1187"/>
      <c r="V111" s="1187"/>
      <c r="W111" s="1187"/>
      <c r="X111" s="1187"/>
      <c r="Y111" s="1187"/>
      <c r="Z111" s="1187"/>
      <c r="AA111" s="1187"/>
      <c r="AB111" s="1187"/>
      <c r="AC111" s="1187"/>
      <c r="AD111" s="1187"/>
      <c r="AE111" s="1187"/>
      <c r="AF111" s="2534">
        <v>3</v>
      </c>
      <c r="AG111" s="2535" t="s">
        <v>1094</v>
      </c>
      <c r="AH111" s="2535" t="s">
        <v>1105</v>
      </c>
      <c r="AI111" s="2724"/>
      <c r="AJ111" s="2535" t="s">
        <v>1074</v>
      </c>
      <c r="AK111" s="2535" t="s">
        <v>1074</v>
      </c>
      <c r="AL111" s="1994"/>
      <c r="AM111" s="1831"/>
      <c r="AN111" s="1831"/>
      <c r="AO111" s="1831"/>
      <c r="AP111" s="1831"/>
      <c r="AQ111" s="1831"/>
      <c r="AR111" s="1831"/>
      <c r="AS111" s="1831"/>
      <c r="AT111" s="1831"/>
      <c r="AU111" s="1831"/>
      <c r="AV111" s="1831"/>
      <c r="AW111" s="1831"/>
      <c r="AX111" s="1831"/>
      <c r="AY111" s="1831"/>
      <c r="AZ111" s="1831"/>
      <c r="BA111" s="1831"/>
      <c r="BB111" s="1831"/>
      <c r="BC111" s="1831"/>
      <c r="BD111" s="1831"/>
      <c r="BE111" s="1831"/>
      <c r="BF111" s="1831"/>
      <c r="BG111" s="1644"/>
    </row>
    <row customHeight="1" ht="11.25">
      <c r="A112" s="1175" t="s">
        <v>1036</v>
      </c>
      <c r="B112" s="1175"/>
      <c r="C112" s="1175"/>
      <c r="D112" s="1169"/>
      <c r="E112" s="1179"/>
      <c r="F112" s="1837"/>
      <c r="G112" s="1838"/>
      <c r="H112" s="2543" t="s">
        <v>1128</v>
      </c>
      <c r="I112" s="2544"/>
      <c r="J112" s="2513"/>
      <c r="K112" s="2545"/>
      <c r="L112" s="2135"/>
      <c r="M112" s="2136"/>
      <c r="N112" s="2536"/>
      <c r="O112" s="2537">
        <v>1</v>
      </c>
      <c r="P112" s="2538" t="s">
        <v>63</v>
      </c>
      <c r="Q112" s="2725" t="s">
        <v>1096</v>
      </c>
      <c r="R112" s="2726" t="s">
        <v>1097</v>
      </c>
      <c r="S112" s="2726" t="s">
        <v>106</v>
      </c>
      <c r="T112" s="2726" t="s">
        <v>106</v>
      </c>
      <c r="U112" s="2726" t="s">
        <v>107</v>
      </c>
      <c r="V112" s="2726" t="s">
        <v>1077</v>
      </c>
      <c r="W112" s="2726" t="s">
        <v>1078</v>
      </c>
      <c r="X112" s="2726" t="s">
        <v>1098</v>
      </c>
      <c r="Y112" s="2726" t="s">
        <v>1099</v>
      </c>
      <c r="Z112" s="1184"/>
      <c r="AA112" s="1185"/>
      <c r="AB112" s="1185"/>
      <c r="AC112" s="1189"/>
      <c r="AD112" s="1189"/>
      <c r="AE112" s="1190"/>
      <c r="AF112" s="2534"/>
      <c r="AG112" s="2535"/>
      <c r="AH112" s="2535"/>
      <c r="AI112" s="2724"/>
      <c r="AJ112" s="2535"/>
      <c r="AK112" s="2535"/>
      <c r="AL112" s="1994"/>
      <c r="AM112" s="1831"/>
      <c r="AN112" s="1831"/>
      <c r="AO112" s="1831"/>
      <c r="AP112" s="1831"/>
      <c r="AQ112" s="1831"/>
      <c r="AR112" s="1831"/>
      <c r="AS112" s="1831"/>
      <c r="AT112" s="1831"/>
      <c r="AU112" s="1831"/>
      <c r="AV112" s="1831"/>
      <c r="AW112" s="1831"/>
      <c r="AX112" s="1831"/>
      <c r="AY112" s="1831"/>
      <c r="AZ112" s="1831"/>
      <c r="BA112" s="1831"/>
      <c r="BB112" s="1831"/>
      <c r="BC112" s="1831"/>
      <c r="BD112" s="1831"/>
      <c r="BE112" s="1831"/>
      <c r="BF112" s="1831"/>
      <c r="BG112" s="1644"/>
    </row>
    <row customHeight="1" ht="11.25">
      <c r="A113" s="1175" t="s">
        <v>1036</v>
      </c>
      <c r="B113" s="1175"/>
      <c r="C113" s="1175"/>
      <c r="D113" s="1169"/>
      <c r="E113" s="1179"/>
      <c r="F113" s="1837"/>
      <c r="G113" s="1838"/>
      <c r="H113" s="2543" t="s">
        <v>1128</v>
      </c>
      <c r="I113" s="2544"/>
      <c r="J113" s="2513"/>
      <c r="K113" s="2545"/>
      <c r="L113" s="2135"/>
      <c r="M113" s="2136"/>
      <c r="N113" s="2536"/>
      <c r="O113" s="2537"/>
      <c r="P113" s="2539"/>
      <c r="Q113" s="2725"/>
      <c r="R113" s="2541"/>
      <c r="S113" s="2542"/>
      <c r="T113" s="2541"/>
      <c r="U113" s="2541"/>
      <c r="V113" s="2541"/>
      <c r="W113" s="2541"/>
      <c r="X113" s="2541"/>
      <c r="Y113" s="2541"/>
      <c r="Z113" s="1836"/>
      <c r="AA113" s="1802">
        <v>1</v>
      </c>
      <c r="AB113" s="1188" t="s">
        <v>1081</v>
      </c>
      <c r="AC113" s="1178">
        <v>39054.15</v>
      </c>
      <c r="AD113" s="1188" t="str">
        <f>AB113</f>
        <v>      Амортизационные отчисления с выделением результатов переоценки основных средств и нематериальных активов</v>
      </c>
      <c r="AE113" s="1178">
        <v>43096.3</v>
      </c>
      <c r="AF113" s="2534"/>
      <c r="AG113" s="2535"/>
      <c r="AH113" s="2535"/>
      <c r="AI113" s="2724"/>
      <c r="AJ113" s="2535"/>
      <c r="AK113" s="2535"/>
      <c r="AL113" s="1994"/>
      <c r="AM113" s="1831"/>
      <c r="AN113" s="1831"/>
      <c r="AO113" s="1831"/>
      <c r="AP113" s="1831"/>
      <c r="AQ113" s="1831"/>
      <c r="AR113" s="1831"/>
      <c r="AS113" s="1831"/>
      <c r="AT113" s="1831"/>
      <c r="AU113" s="1831"/>
      <c r="AV113" s="1831"/>
      <c r="AW113" s="1831"/>
      <c r="AX113" s="1831"/>
      <c r="AY113" s="1831"/>
      <c r="AZ113" s="1831"/>
      <c r="BA113" s="1831"/>
      <c r="BB113" s="1831"/>
      <c r="BC113" s="1831"/>
      <c r="BD113" s="1831"/>
      <c r="BE113" s="1831"/>
      <c r="BF113" s="1831"/>
      <c r="BG113" s="1644"/>
    </row>
    <row customHeight="1" ht="11.25">
      <c r="A114" s="1175" t="s">
        <v>1036</v>
      </c>
      <c r="B114" s="1175"/>
      <c r="C114" s="1175"/>
      <c r="D114" s="1169"/>
      <c r="E114" s="1179"/>
      <c r="F114" s="1837"/>
      <c r="G114" s="1838"/>
      <c r="H114" s="2543" t="s">
        <v>1128</v>
      </c>
      <c r="I114" s="2544"/>
      <c r="J114" s="2513"/>
      <c r="K114" s="2545"/>
      <c r="L114" s="2135"/>
      <c r="M114" s="2136"/>
      <c r="N114" s="2536"/>
      <c r="O114" s="2537"/>
      <c r="P114" s="2540"/>
      <c r="Q114" s="2725"/>
      <c r="R114" s="2541"/>
      <c r="S114" s="2542"/>
      <c r="T114" s="2541"/>
      <c r="U114" s="2541"/>
      <c r="V114" s="2541"/>
      <c r="W114" s="2541"/>
      <c r="X114" s="2541"/>
      <c r="Y114" s="2541"/>
      <c r="Z114" s="1184"/>
      <c r="AA114" s="1185"/>
      <c r="AB114" s="1250" t="s">
        <v>1082</v>
      </c>
      <c r="AC114" s="1189"/>
      <c r="AD114" s="1189"/>
      <c r="AE114" s="1191"/>
      <c r="AF114" s="2534"/>
      <c r="AG114" s="2535"/>
      <c r="AH114" s="2535"/>
      <c r="AI114" s="2724"/>
      <c r="AJ114" s="2535"/>
      <c r="AK114" s="2535"/>
      <c r="AL114" s="1994"/>
      <c r="AM114" s="1831"/>
      <c r="AN114" s="1831"/>
      <c r="AO114" s="1831"/>
      <c r="AP114" s="1831"/>
      <c r="AQ114" s="1831"/>
      <c r="AR114" s="1831"/>
      <c r="AS114" s="1831"/>
      <c r="AT114" s="1831"/>
      <c r="AU114" s="1831"/>
      <c r="AV114" s="1831"/>
      <c r="AW114" s="1831"/>
      <c r="AX114" s="1831"/>
      <c r="AY114" s="1831"/>
      <c r="AZ114" s="1831"/>
      <c r="BA114" s="1831"/>
      <c r="BB114" s="1831"/>
      <c r="BC114" s="1831"/>
      <c r="BD114" s="1831"/>
      <c r="BE114" s="1831"/>
      <c r="BF114" s="1831"/>
      <c r="BG114" s="1644"/>
    </row>
    <row customHeight="1" ht="11.25">
      <c r="A115" s="1175" t="s">
        <v>1036</v>
      </c>
      <c r="B115" s="1175"/>
      <c r="C115" s="1175"/>
      <c r="D115" s="1169"/>
      <c r="E115" s="1179"/>
      <c r="F115" s="1837"/>
      <c r="G115" s="1838"/>
      <c r="H115" s="2543" t="s">
        <v>1128</v>
      </c>
      <c r="I115" s="2544"/>
      <c r="J115" s="2513"/>
      <c r="K115" s="2545"/>
      <c r="L115" s="2135"/>
      <c r="M115" s="2136"/>
      <c r="N115" s="1184"/>
      <c r="O115" s="1185"/>
      <c r="P115" s="1177" t="s">
        <v>1083</v>
      </c>
      <c r="Q115" s="1185"/>
      <c r="R115" s="1185"/>
      <c r="S115" s="1185"/>
      <c r="T115" s="1185"/>
      <c r="U115" s="1185"/>
      <c r="V115" s="1185"/>
      <c r="W115" s="1185"/>
      <c r="X115" s="1185"/>
      <c r="Y115" s="1185"/>
      <c r="Z115" s="1185"/>
      <c r="AA115" s="1185"/>
      <c r="AB115" s="1185"/>
      <c r="AC115" s="1185"/>
      <c r="AD115" s="1185"/>
      <c r="AE115" s="1192"/>
      <c r="AF115" s="2534"/>
      <c r="AG115" s="2535"/>
      <c r="AH115" s="2535"/>
      <c r="AI115" s="2724"/>
      <c r="AJ115" s="2535"/>
      <c r="AK115" s="2535"/>
      <c r="AL115" s="1994"/>
      <c r="AM115" s="1831"/>
      <c r="AN115" s="1831"/>
      <c r="AO115" s="1831"/>
      <c r="AP115" s="1831"/>
      <c r="AQ115" s="1831"/>
      <c r="AR115" s="1831"/>
      <c r="AS115" s="1831"/>
      <c r="AT115" s="1831"/>
      <c r="AU115" s="1831"/>
      <c r="AV115" s="1831"/>
      <c r="AW115" s="1831"/>
      <c r="AX115" s="1831"/>
      <c r="AY115" s="1831"/>
      <c r="AZ115" s="1831"/>
      <c r="BA115" s="1831"/>
      <c r="BB115" s="1831"/>
      <c r="BC115" s="1831"/>
      <c r="BD115" s="1831"/>
      <c r="BE115" s="1831"/>
      <c r="BF115" s="1831"/>
      <c r="BG115" s="1644"/>
    </row>
    <row customHeight="1" ht="11.25">
      <c r="A116" s="1175" t="s">
        <v>1036</v>
      </c>
      <c r="B116" s="1175" t="s">
        <v>1068</v>
      </c>
      <c r="C116" s="1175"/>
      <c r="D116" s="1169"/>
      <c r="E116" s="1179"/>
      <c r="F116" s="1837"/>
      <c r="G116" s="692" t="s">
        <v>104</v>
      </c>
      <c r="H116" s="2543" t="s">
        <v>1132</v>
      </c>
      <c r="I116" s="2544" t="s">
        <v>1069</v>
      </c>
      <c r="J116" s="2513" t="s">
        <v>1092</v>
      </c>
      <c r="K116" s="2545" t="s">
        <v>1133</v>
      </c>
      <c r="L116" s="2135" t="s">
        <v>19</v>
      </c>
      <c r="M116" s="2136"/>
      <c r="N116" s="1992"/>
      <c r="O116" s="1186" t="s">
        <v>391</v>
      </c>
      <c r="P116" s="1187"/>
      <c r="Q116" s="1187"/>
      <c r="R116" s="1187"/>
      <c r="S116" s="1187"/>
      <c r="T116" s="1187"/>
      <c r="U116" s="1187"/>
      <c r="V116" s="1187"/>
      <c r="W116" s="1187"/>
      <c r="X116" s="1187"/>
      <c r="Y116" s="1187"/>
      <c r="Z116" s="1187"/>
      <c r="AA116" s="1187"/>
      <c r="AB116" s="1187"/>
      <c r="AC116" s="1187"/>
      <c r="AD116" s="1187"/>
      <c r="AE116" s="1187"/>
      <c r="AF116" s="2534">
        <v>1</v>
      </c>
      <c r="AG116" s="2535" t="s">
        <v>1094</v>
      </c>
      <c r="AH116" s="2535" t="s">
        <v>1085</v>
      </c>
      <c r="AI116" s="2534">
        <v>1</v>
      </c>
      <c r="AJ116" s="2535" t="s">
        <v>1095</v>
      </c>
      <c r="AK116" s="2535" t="s">
        <v>1085</v>
      </c>
      <c r="AL116" s="1994"/>
      <c r="AM116" s="1831"/>
      <c r="AN116" s="1831"/>
      <c r="AO116" s="1831"/>
      <c r="AP116" s="1831"/>
      <c r="AQ116" s="1831"/>
      <c r="AR116" s="1831"/>
      <c r="AS116" s="1831"/>
      <c r="AT116" s="1831"/>
      <c r="AU116" s="1831"/>
      <c r="AV116" s="1831"/>
      <c r="AW116" s="1831"/>
      <c r="AX116" s="1831"/>
      <c r="AY116" s="1831"/>
      <c r="AZ116" s="1831"/>
      <c r="BA116" s="1831"/>
      <c r="BB116" s="1831"/>
      <c r="BC116" s="1831"/>
      <c r="BD116" s="1831"/>
      <c r="BE116" s="1831"/>
      <c r="BF116" s="1831"/>
      <c r="BG116" s="1644"/>
    </row>
    <row customHeight="1" ht="11.25">
      <c r="A117" s="1175" t="s">
        <v>1036</v>
      </c>
      <c r="B117" s="1175"/>
      <c r="C117" s="1175"/>
      <c r="D117" s="1169"/>
      <c r="E117" s="1179"/>
      <c r="F117" s="1837"/>
      <c r="G117" s="1838"/>
      <c r="H117" s="2543" t="s">
        <v>1130</v>
      </c>
      <c r="I117" s="2544"/>
      <c r="J117" s="2513"/>
      <c r="K117" s="2545"/>
      <c r="L117" s="2135"/>
      <c r="M117" s="2136"/>
      <c r="N117" s="2536"/>
      <c r="O117" s="2537">
        <v>1</v>
      </c>
      <c r="P117" s="2538" t="s">
        <v>63</v>
      </c>
      <c r="Q117" s="2725" t="s">
        <v>1101</v>
      </c>
      <c r="R117" s="2726" t="s">
        <v>1076</v>
      </c>
      <c r="S117" s="2726" t="s">
        <v>106</v>
      </c>
      <c r="T117" s="2726" t="s">
        <v>106</v>
      </c>
      <c r="U117" s="2726" t="s">
        <v>107</v>
      </c>
      <c r="V117" s="2726" t="s">
        <v>1077</v>
      </c>
      <c r="W117" s="2726" t="s">
        <v>1078</v>
      </c>
      <c r="X117" s="2726" t="s">
        <v>1102</v>
      </c>
      <c r="Y117" s="2726" t="s">
        <v>1103</v>
      </c>
      <c r="Z117" s="1184"/>
      <c r="AA117" s="1185"/>
      <c r="AB117" s="1185"/>
      <c r="AC117" s="1189"/>
      <c r="AD117" s="1189"/>
      <c r="AE117" s="1190"/>
      <c r="AF117" s="2534"/>
      <c r="AG117" s="2535"/>
      <c r="AH117" s="2535"/>
      <c r="AI117" s="2534"/>
      <c r="AJ117" s="2535"/>
      <c r="AK117" s="2535"/>
      <c r="AL117" s="1994"/>
      <c r="AM117" s="1831"/>
      <c r="AN117" s="1831"/>
      <c r="AO117" s="1831"/>
      <c r="AP117" s="1831"/>
      <c r="AQ117" s="1831"/>
      <c r="AR117" s="1831"/>
      <c r="AS117" s="1831"/>
      <c r="AT117" s="1831"/>
      <c r="AU117" s="1831"/>
      <c r="AV117" s="1831"/>
      <c r="AW117" s="1831"/>
      <c r="AX117" s="1831"/>
      <c r="AY117" s="1831"/>
      <c r="AZ117" s="1831"/>
      <c r="BA117" s="1831"/>
      <c r="BB117" s="1831"/>
      <c r="BC117" s="1831"/>
      <c r="BD117" s="1831"/>
      <c r="BE117" s="1831"/>
      <c r="BF117" s="1831"/>
      <c r="BG117" s="1644"/>
    </row>
    <row customHeight="1" ht="11.25">
      <c r="A118" s="1175" t="s">
        <v>1036</v>
      </c>
      <c r="B118" s="1175"/>
      <c r="C118" s="1175"/>
      <c r="D118" s="1169"/>
      <c r="E118" s="1179"/>
      <c r="F118" s="1837"/>
      <c r="G118" s="1838"/>
      <c r="H118" s="2543" t="s">
        <v>1130</v>
      </c>
      <c r="I118" s="2544"/>
      <c r="J118" s="2513"/>
      <c r="K118" s="2545"/>
      <c r="L118" s="2135"/>
      <c r="M118" s="2136"/>
      <c r="N118" s="2536"/>
      <c r="O118" s="2537"/>
      <c r="P118" s="2539"/>
      <c r="Q118" s="2725"/>
      <c r="R118" s="2541"/>
      <c r="S118" s="2542"/>
      <c r="T118" s="2541"/>
      <c r="U118" s="2541"/>
      <c r="V118" s="2541"/>
      <c r="W118" s="2541"/>
      <c r="X118" s="2541"/>
      <c r="Y118" s="2541"/>
      <c r="Z118" s="1836"/>
      <c r="AA118" s="1802">
        <v>1</v>
      </c>
      <c r="AB118" s="1188" t="s">
        <v>1081</v>
      </c>
      <c r="AC118" s="1178">
        <v>1419.56</v>
      </c>
      <c r="AD118" s="1188" t="str">
        <f>AB118</f>
        <v>      Амортизационные отчисления с выделением результатов переоценки основных средств и нематериальных активов</v>
      </c>
      <c r="AE118" s="1178">
        <v>1513.31</v>
      </c>
      <c r="AF118" s="2534"/>
      <c r="AG118" s="2535"/>
      <c r="AH118" s="2535"/>
      <c r="AI118" s="2534"/>
      <c r="AJ118" s="2535"/>
      <c r="AK118" s="2535"/>
      <c r="AL118" s="1994"/>
      <c r="AM118" s="1831"/>
      <c r="AN118" s="1831"/>
      <c r="AO118" s="1831"/>
      <c r="AP118" s="1831"/>
      <c r="AQ118" s="1831"/>
      <c r="AR118" s="1831"/>
      <c r="AS118" s="1831"/>
      <c r="AT118" s="1831"/>
      <c r="AU118" s="1831"/>
      <c r="AV118" s="1831"/>
      <c r="AW118" s="1831"/>
      <c r="AX118" s="1831"/>
      <c r="AY118" s="1831"/>
      <c r="AZ118" s="1831"/>
      <c r="BA118" s="1831"/>
      <c r="BB118" s="1831"/>
      <c r="BC118" s="1831"/>
      <c r="BD118" s="1831"/>
      <c r="BE118" s="1831"/>
      <c r="BF118" s="1831"/>
      <c r="BG118" s="1644"/>
    </row>
    <row customHeight="1" ht="11.25">
      <c r="A119" s="1175" t="s">
        <v>1036</v>
      </c>
      <c r="B119" s="1175"/>
      <c r="C119" s="1175"/>
      <c r="D119" s="1169"/>
      <c r="E119" s="1179"/>
      <c r="F119" s="1837"/>
      <c r="G119" s="1838"/>
      <c r="H119" s="2543" t="s">
        <v>1130</v>
      </c>
      <c r="I119" s="2544"/>
      <c r="J119" s="2513"/>
      <c r="K119" s="2545"/>
      <c r="L119" s="2135"/>
      <c r="M119" s="2136"/>
      <c r="N119" s="2536"/>
      <c r="O119" s="2537"/>
      <c r="P119" s="2540"/>
      <c r="Q119" s="2725"/>
      <c r="R119" s="2541"/>
      <c r="S119" s="2542"/>
      <c r="T119" s="2541"/>
      <c r="U119" s="2541"/>
      <c r="V119" s="2541"/>
      <c r="W119" s="2541"/>
      <c r="X119" s="2541"/>
      <c r="Y119" s="2541"/>
      <c r="Z119" s="1184"/>
      <c r="AA119" s="1185"/>
      <c r="AB119" s="1250" t="s">
        <v>1082</v>
      </c>
      <c r="AC119" s="1189"/>
      <c r="AD119" s="1189"/>
      <c r="AE119" s="1191"/>
      <c r="AF119" s="2534"/>
      <c r="AG119" s="2535"/>
      <c r="AH119" s="2535"/>
      <c r="AI119" s="2534"/>
      <c r="AJ119" s="2535"/>
      <c r="AK119" s="2535"/>
      <c r="AL119" s="1994"/>
      <c r="AM119" s="1831"/>
      <c r="AN119" s="1831"/>
      <c r="AO119" s="1831"/>
      <c r="AP119" s="1831"/>
      <c r="AQ119" s="1831"/>
      <c r="AR119" s="1831"/>
      <c r="AS119" s="1831"/>
      <c r="AT119" s="1831"/>
      <c r="AU119" s="1831"/>
      <c r="AV119" s="1831"/>
      <c r="AW119" s="1831"/>
      <c r="AX119" s="1831"/>
      <c r="AY119" s="1831"/>
      <c r="AZ119" s="1831"/>
      <c r="BA119" s="1831"/>
      <c r="BB119" s="1831"/>
      <c r="BC119" s="1831"/>
      <c r="BD119" s="1831"/>
      <c r="BE119" s="1831"/>
      <c r="BF119" s="1831"/>
      <c r="BG119" s="1644"/>
    </row>
    <row customHeight="1" ht="11.25">
      <c r="A120" s="1175" t="s">
        <v>1036</v>
      </c>
      <c r="B120" s="1175"/>
      <c r="C120" s="1175"/>
      <c r="D120" s="1169"/>
      <c r="E120" s="1179"/>
      <c r="F120" s="1837"/>
      <c r="G120" s="1838"/>
      <c r="H120" s="2543" t="s">
        <v>1130</v>
      </c>
      <c r="I120" s="2544"/>
      <c r="J120" s="2513"/>
      <c r="K120" s="2545"/>
      <c r="L120" s="2135"/>
      <c r="M120" s="2136"/>
      <c r="N120" s="1184"/>
      <c r="O120" s="1185"/>
      <c r="P120" s="1177" t="s">
        <v>1083</v>
      </c>
      <c r="Q120" s="1185"/>
      <c r="R120" s="1185"/>
      <c r="S120" s="1185"/>
      <c r="T120" s="1185"/>
      <c r="U120" s="1185"/>
      <c r="V120" s="1185"/>
      <c r="W120" s="1185"/>
      <c r="X120" s="1185"/>
      <c r="Y120" s="1185"/>
      <c r="Z120" s="1185"/>
      <c r="AA120" s="1185"/>
      <c r="AB120" s="1185"/>
      <c r="AC120" s="1185"/>
      <c r="AD120" s="1185"/>
      <c r="AE120" s="1192"/>
      <c r="AF120" s="2534"/>
      <c r="AG120" s="2535"/>
      <c r="AH120" s="2535"/>
      <c r="AI120" s="2534"/>
      <c r="AJ120" s="2535"/>
      <c r="AK120" s="2535"/>
      <c r="AL120" s="1994"/>
      <c r="AM120" s="1831"/>
      <c r="AN120" s="1831"/>
      <c r="AO120" s="1831"/>
      <c r="AP120" s="1831"/>
      <c r="AQ120" s="1831"/>
      <c r="AR120" s="1831"/>
      <c r="AS120" s="1831"/>
      <c r="AT120" s="1831"/>
      <c r="AU120" s="1831"/>
      <c r="AV120" s="1831"/>
      <c r="AW120" s="1831"/>
      <c r="AX120" s="1831"/>
      <c r="AY120" s="1831"/>
      <c r="AZ120" s="1831"/>
      <c r="BA120" s="1831"/>
      <c r="BB120" s="1831"/>
      <c r="BC120" s="1831"/>
      <c r="BD120" s="1831"/>
      <c r="BE120" s="1831"/>
      <c r="BF120" s="1831"/>
      <c r="BG120" s="1644"/>
    </row>
    <row customHeight="1" ht="11.25">
      <c r="A121" s="1175" t="s">
        <v>1036</v>
      </c>
      <c r="B121" s="1175" t="s">
        <v>1068</v>
      </c>
      <c r="C121" s="1175"/>
      <c r="D121" s="1169"/>
      <c r="E121" s="1179"/>
      <c r="F121" s="1837"/>
      <c r="G121" s="692" t="s">
        <v>104</v>
      </c>
      <c r="H121" s="2543" t="s">
        <v>1134</v>
      </c>
      <c r="I121" s="2544" t="s">
        <v>1069</v>
      </c>
      <c r="J121" s="2513" t="s">
        <v>1092</v>
      </c>
      <c r="K121" s="2545" t="s">
        <v>1135</v>
      </c>
      <c r="L121" s="2135" t="s">
        <v>19</v>
      </c>
      <c r="M121" s="2136"/>
      <c r="N121" s="1992"/>
      <c r="O121" s="1186" t="s">
        <v>391</v>
      </c>
      <c r="P121" s="1187"/>
      <c r="Q121" s="1187"/>
      <c r="R121" s="1187"/>
      <c r="S121" s="1187"/>
      <c r="T121" s="1187"/>
      <c r="U121" s="1187"/>
      <c r="V121" s="1187"/>
      <c r="W121" s="1187"/>
      <c r="X121" s="1187"/>
      <c r="Y121" s="1187"/>
      <c r="Z121" s="1187"/>
      <c r="AA121" s="1187"/>
      <c r="AB121" s="1187"/>
      <c r="AC121" s="1187"/>
      <c r="AD121" s="1187"/>
      <c r="AE121" s="1187"/>
      <c r="AF121" s="2534">
        <v>2</v>
      </c>
      <c r="AG121" s="2535" t="s">
        <v>1094</v>
      </c>
      <c r="AH121" s="2535" t="s">
        <v>1073</v>
      </c>
      <c r="AI121" s="2906">
        <v>1</v>
      </c>
      <c r="AJ121" s="2535" t="s">
        <v>1072</v>
      </c>
      <c r="AK121" s="2535" t="s">
        <v>1085</v>
      </c>
      <c r="AL121" s="1994"/>
      <c r="AM121" s="1831"/>
      <c r="AN121" s="1831"/>
      <c r="AO121" s="1831"/>
      <c r="AP121" s="1831"/>
      <c r="AQ121" s="1831"/>
      <c r="AR121" s="1831"/>
      <c r="AS121" s="1831"/>
      <c r="AT121" s="1831"/>
      <c r="AU121" s="1831"/>
      <c r="AV121" s="1831"/>
      <c r="AW121" s="1831"/>
      <c r="AX121" s="1831"/>
      <c r="AY121" s="1831"/>
      <c r="AZ121" s="1831"/>
      <c r="BA121" s="1831"/>
      <c r="BB121" s="1831"/>
      <c r="BC121" s="1831"/>
      <c r="BD121" s="1831"/>
      <c r="BE121" s="1831"/>
      <c r="BF121" s="1831"/>
      <c r="BG121" s="1644"/>
    </row>
    <row customHeight="1" ht="11.25">
      <c r="A122" s="1175" t="s">
        <v>1036</v>
      </c>
      <c r="B122" s="1175"/>
      <c r="C122" s="1175"/>
      <c r="D122" s="1169"/>
      <c r="E122" s="1179"/>
      <c r="F122" s="1837"/>
      <c r="G122" s="1838"/>
      <c r="H122" s="2543" t="s">
        <v>1132</v>
      </c>
      <c r="I122" s="2544"/>
      <c r="J122" s="2513"/>
      <c r="K122" s="2545"/>
      <c r="L122" s="2135"/>
      <c r="M122" s="2136"/>
      <c r="N122" s="2536"/>
      <c r="O122" s="2537">
        <v>1</v>
      </c>
      <c r="P122" s="2538" t="s">
        <v>63</v>
      </c>
      <c r="Q122" s="2725" t="s">
        <v>1096</v>
      </c>
      <c r="R122" s="2726" t="s">
        <v>1097</v>
      </c>
      <c r="S122" s="2726" t="s">
        <v>106</v>
      </c>
      <c r="T122" s="2726" t="s">
        <v>106</v>
      </c>
      <c r="U122" s="2726" t="s">
        <v>107</v>
      </c>
      <c r="V122" s="2726" t="s">
        <v>1077</v>
      </c>
      <c r="W122" s="2726" t="s">
        <v>1078</v>
      </c>
      <c r="X122" s="2726" t="s">
        <v>1098</v>
      </c>
      <c r="Y122" s="2726" t="s">
        <v>1099</v>
      </c>
      <c r="Z122" s="1184"/>
      <c r="AA122" s="1185"/>
      <c r="AB122" s="1185"/>
      <c r="AC122" s="1189"/>
      <c r="AD122" s="1189"/>
      <c r="AE122" s="1190"/>
      <c r="AF122" s="2534"/>
      <c r="AG122" s="2535"/>
      <c r="AH122" s="2535"/>
      <c r="AI122" s="2906"/>
      <c r="AJ122" s="2535"/>
      <c r="AK122" s="2535"/>
      <c r="AL122" s="1994"/>
      <c r="AM122" s="1831"/>
      <c r="AN122" s="1831"/>
      <c r="AO122" s="1831"/>
      <c r="AP122" s="1831"/>
      <c r="AQ122" s="1831"/>
      <c r="AR122" s="1831"/>
      <c r="AS122" s="1831"/>
      <c r="AT122" s="1831"/>
      <c r="AU122" s="1831"/>
      <c r="AV122" s="1831"/>
      <c r="AW122" s="1831"/>
      <c r="AX122" s="1831"/>
      <c r="AY122" s="1831"/>
      <c r="AZ122" s="1831"/>
      <c r="BA122" s="1831"/>
      <c r="BB122" s="1831"/>
      <c r="BC122" s="1831"/>
      <c r="BD122" s="1831"/>
      <c r="BE122" s="1831"/>
      <c r="BF122" s="1831"/>
      <c r="BG122" s="1644"/>
    </row>
    <row customHeight="1" ht="11.25">
      <c r="A123" s="1175" t="s">
        <v>1036</v>
      </c>
      <c r="B123" s="1175"/>
      <c r="C123" s="1175"/>
      <c r="D123" s="1169"/>
      <c r="E123" s="1179"/>
      <c r="F123" s="1837"/>
      <c r="G123" s="1838"/>
      <c r="H123" s="2543" t="s">
        <v>1132</v>
      </c>
      <c r="I123" s="2544"/>
      <c r="J123" s="2513"/>
      <c r="K123" s="2545"/>
      <c r="L123" s="2135"/>
      <c r="M123" s="2136"/>
      <c r="N123" s="2536"/>
      <c r="O123" s="2537"/>
      <c r="P123" s="2539"/>
      <c r="Q123" s="2725"/>
      <c r="R123" s="2541"/>
      <c r="S123" s="2542"/>
      <c r="T123" s="2541"/>
      <c r="U123" s="2541"/>
      <c r="V123" s="2541"/>
      <c r="W123" s="2541"/>
      <c r="X123" s="2541"/>
      <c r="Y123" s="2541"/>
      <c r="Z123" s="1836"/>
      <c r="AA123" s="1802">
        <v>1</v>
      </c>
      <c r="AB123" s="1188" t="s">
        <v>1081</v>
      </c>
      <c r="AC123" s="1178">
        <v>59968.95</v>
      </c>
      <c r="AD123" s="1188" t="str">
        <f>AB123</f>
        <v>      Амортизационные отчисления с выделением результатов переоценки основных средств и нематериальных активов</v>
      </c>
      <c r="AE123" s="1178">
        <v>51735.43</v>
      </c>
      <c r="AF123" s="2534"/>
      <c r="AG123" s="2535"/>
      <c r="AH123" s="2535"/>
      <c r="AI123" s="2906"/>
      <c r="AJ123" s="2535"/>
      <c r="AK123" s="2535"/>
      <c r="AL123" s="1994"/>
      <c r="AM123" s="1831"/>
      <c r="AN123" s="1831"/>
      <c r="AO123" s="1831"/>
      <c r="AP123" s="1831"/>
      <c r="AQ123" s="1831"/>
      <c r="AR123" s="1831"/>
      <c r="AS123" s="1831"/>
      <c r="AT123" s="1831"/>
      <c r="AU123" s="1831"/>
      <c r="AV123" s="1831"/>
      <c r="AW123" s="1831"/>
      <c r="AX123" s="1831"/>
      <c r="AY123" s="1831"/>
      <c r="AZ123" s="1831"/>
      <c r="BA123" s="1831"/>
      <c r="BB123" s="1831"/>
      <c r="BC123" s="1831"/>
      <c r="BD123" s="1831"/>
      <c r="BE123" s="1831"/>
      <c r="BF123" s="1831"/>
      <c r="BG123" s="1644"/>
    </row>
    <row customHeight="1" ht="11.25">
      <c r="A124" s="1175" t="s">
        <v>1036</v>
      </c>
      <c r="B124" s="1175"/>
      <c r="C124" s="1175"/>
      <c r="D124" s="1169"/>
      <c r="E124" s="1179"/>
      <c r="F124" s="1837"/>
      <c r="G124" s="1838"/>
      <c r="H124" s="2543" t="s">
        <v>1132</v>
      </c>
      <c r="I124" s="2544"/>
      <c r="J124" s="2513"/>
      <c r="K124" s="2545"/>
      <c r="L124" s="2135"/>
      <c r="M124" s="2136"/>
      <c r="N124" s="2536"/>
      <c r="O124" s="2537"/>
      <c r="P124" s="2540"/>
      <c r="Q124" s="2725"/>
      <c r="R124" s="2541"/>
      <c r="S124" s="2542"/>
      <c r="T124" s="2541"/>
      <c r="U124" s="2541"/>
      <c r="V124" s="2541"/>
      <c r="W124" s="2541"/>
      <c r="X124" s="2541"/>
      <c r="Y124" s="2541"/>
      <c r="Z124" s="1184"/>
      <c r="AA124" s="1185"/>
      <c r="AB124" s="1250" t="s">
        <v>1082</v>
      </c>
      <c r="AC124" s="1189"/>
      <c r="AD124" s="1189"/>
      <c r="AE124" s="1191"/>
      <c r="AF124" s="2534"/>
      <c r="AG124" s="2535"/>
      <c r="AH124" s="2535"/>
      <c r="AI124" s="2906"/>
      <c r="AJ124" s="2535"/>
      <c r="AK124" s="2535"/>
      <c r="AL124" s="1994"/>
      <c r="AM124" s="1831"/>
      <c r="AN124" s="1831"/>
      <c r="AO124" s="1831"/>
      <c r="AP124" s="1831"/>
      <c r="AQ124" s="1831"/>
      <c r="AR124" s="1831"/>
      <c r="AS124" s="1831"/>
      <c r="AT124" s="1831"/>
      <c r="AU124" s="1831"/>
      <c r="AV124" s="1831"/>
      <c r="AW124" s="1831"/>
      <c r="AX124" s="1831"/>
      <c r="AY124" s="1831"/>
      <c r="AZ124" s="1831"/>
      <c r="BA124" s="1831"/>
      <c r="BB124" s="1831"/>
      <c r="BC124" s="1831"/>
      <c r="BD124" s="1831"/>
      <c r="BE124" s="1831"/>
      <c r="BF124" s="1831"/>
      <c r="BG124" s="1644"/>
    </row>
    <row customHeight="1" ht="11.25">
      <c r="A125" s="1175" t="s">
        <v>1036</v>
      </c>
      <c r="B125" s="1175"/>
      <c r="C125" s="1175"/>
      <c r="D125" s="1169"/>
      <c r="E125" s="1179"/>
      <c r="F125" s="1837"/>
      <c r="G125" s="1838"/>
      <c r="H125" s="2543" t="s">
        <v>1132</v>
      </c>
      <c r="I125" s="2544"/>
      <c r="J125" s="2513"/>
      <c r="K125" s="2545"/>
      <c r="L125" s="2135"/>
      <c r="M125" s="2136"/>
      <c r="N125" s="1184"/>
      <c r="O125" s="1185"/>
      <c r="P125" s="1177" t="s">
        <v>1083</v>
      </c>
      <c r="Q125" s="1185"/>
      <c r="R125" s="1185"/>
      <c r="S125" s="1185"/>
      <c r="T125" s="1185"/>
      <c r="U125" s="1185"/>
      <c r="V125" s="1185"/>
      <c r="W125" s="1185"/>
      <c r="X125" s="1185"/>
      <c r="Y125" s="1185"/>
      <c r="Z125" s="1185"/>
      <c r="AA125" s="1185"/>
      <c r="AB125" s="1185"/>
      <c r="AC125" s="1185"/>
      <c r="AD125" s="1185"/>
      <c r="AE125" s="1192"/>
      <c r="AF125" s="2534"/>
      <c r="AG125" s="2535"/>
      <c r="AH125" s="2535"/>
      <c r="AI125" s="2906"/>
      <c r="AJ125" s="2535"/>
      <c r="AK125" s="2535"/>
      <c r="AL125" s="1994"/>
      <c r="AM125" s="1831"/>
      <c r="AN125" s="1831"/>
      <c r="AO125" s="1831"/>
      <c r="AP125" s="1831"/>
      <c r="AQ125" s="1831"/>
      <c r="AR125" s="1831"/>
      <c r="AS125" s="1831"/>
      <c r="AT125" s="1831"/>
      <c r="AU125" s="1831"/>
      <c r="AV125" s="1831"/>
      <c r="AW125" s="1831"/>
      <c r="AX125" s="1831"/>
      <c r="AY125" s="1831"/>
      <c r="AZ125" s="1831"/>
      <c r="BA125" s="1831"/>
      <c r="BB125" s="1831"/>
      <c r="BC125" s="1831"/>
      <c r="BD125" s="1831"/>
      <c r="BE125" s="1831"/>
      <c r="BF125" s="1831"/>
      <c r="BG125" s="1644"/>
    </row>
    <row customHeight="1" ht="11.25">
      <c r="A126" s="1175" t="s">
        <v>1036</v>
      </c>
      <c r="B126" s="1175" t="s">
        <v>1068</v>
      </c>
      <c r="C126" s="1175"/>
      <c r="D126" s="1169"/>
      <c r="E126" s="1179"/>
      <c r="F126" s="1837"/>
      <c r="G126" s="692" t="s">
        <v>104</v>
      </c>
      <c r="H126" s="2543" t="s">
        <v>1080</v>
      </c>
      <c r="I126" s="2544" t="s">
        <v>1069</v>
      </c>
      <c r="J126" s="2513" t="s">
        <v>1092</v>
      </c>
      <c r="K126" s="2545" t="s">
        <v>1136</v>
      </c>
      <c r="L126" s="2135" t="s">
        <v>19</v>
      </c>
      <c r="M126" s="2136"/>
      <c r="N126" s="1992"/>
      <c r="O126" s="1186" t="s">
        <v>391</v>
      </c>
      <c r="P126" s="1187"/>
      <c r="Q126" s="1187"/>
      <c r="R126" s="1187"/>
      <c r="S126" s="1187"/>
      <c r="T126" s="1187"/>
      <c r="U126" s="1187"/>
      <c r="V126" s="1187"/>
      <c r="W126" s="1187"/>
      <c r="X126" s="1187"/>
      <c r="Y126" s="1187"/>
      <c r="Z126" s="1187"/>
      <c r="AA126" s="1187"/>
      <c r="AB126" s="1187"/>
      <c r="AC126" s="1187"/>
      <c r="AD126" s="1187"/>
      <c r="AE126" s="1187"/>
      <c r="AF126" s="2534">
        <v>1</v>
      </c>
      <c r="AG126" s="2535" t="s">
        <v>1094</v>
      </c>
      <c r="AH126" s="2535" t="s">
        <v>1085</v>
      </c>
      <c r="AI126" s="2534">
        <v>1</v>
      </c>
      <c r="AJ126" s="2535" t="s">
        <v>1072</v>
      </c>
      <c r="AK126" s="2535" t="s">
        <v>1085</v>
      </c>
      <c r="AL126" s="1994"/>
      <c r="AM126" s="1831"/>
      <c r="AN126" s="1831"/>
      <c r="AO126" s="1831"/>
      <c r="AP126" s="1831"/>
      <c r="AQ126" s="1831"/>
      <c r="AR126" s="1831"/>
      <c r="AS126" s="1831"/>
      <c r="AT126" s="1831"/>
      <c r="AU126" s="1831"/>
      <c r="AV126" s="1831"/>
      <c r="AW126" s="1831"/>
      <c r="AX126" s="1831"/>
      <c r="AY126" s="1831"/>
      <c r="AZ126" s="1831"/>
      <c r="BA126" s="1831"/>
      <c r="BB126" s="1831"/>
      <c r="BC126" s="1831"/>
      <c r="BD126" s="1831"/>
      <c r="BE126" s="1831"/>
      <c r="BF126" s="1831"/>
      <c r="BG126" s="1644"/>
    </row>
    <row customHeight="1" ht="11.25">
      <c r="A127" s="1175" t="s">
        <v>1036</v>
      </c>
      <c r="B127" s="1175"/>
      <c r="C127" s="1175"/>
      <c r="D127" s="1169"/>
      <c r="E127" s="1179"/>
      <c r="F127" s="1837"/>
      <c r="G127" s="1838"/>
      <c r="H127" s="2543" t="s">
        <v>1134</v>
      </c>
      <c r="I127" s="2544"/>
      <c r="J127" s="2513"/>
      <c r="K127" s="2545"/>
      <c r="L127" s="2135"/>
      <c r="M127" s="2136"/>
      <c r="N127" s="2536"/>
      <c r="O127" s="2537">
        <v>1</v>
      </c>
      <c r="P127" s="2538" t="s">
        <v>63</v>
      </c>
      <c r="Q127" s="2725" t="s">
        <v>1101</v>
      </c>
      <c r="R127" s="2726" t="s">
        <v>1076</v>
      </c>
      <c r="S127" s="2726" t="s">
        <v>106</v>
      </c>
      <c r="T127" s="2726" t="s">
        <v>106</v>
      </c>
      <c r="U127" s="2726" t="s">
        <v>107</v>
      </c>
      <c r="V127" s="2726" t="s">
        <v>1077</v>
      </c>
      <c r="W127" s="2726" t="s">
        <v>1078</v>
      </c>
      <c r="X127" s="2726" t="s">
        <v>1102</v>
      </c>
      <c r="Y127" s="2726" t="s">
        <v>1103</v>
      </c>
      <c r="Z127" s="1184"/>
      <c r="AA127" s="1185"/>
      <c r="AB127" s="1185"/>
      <c r="AC127" s="1189"/>
      <c r="AD127" s="1189"/>
      <c r="AE127" s="1190"/>
      <c r="AF127" s="2534"/>
      <c r="AG127" s="2535"/>
      <c r="AH127" s="2535"/>
      <c r="AI127" s="2534"/>
      <c r="AJ127" s="2535"/>
      <c r="AK127" s="2535"/>
      <c r="AL127" s="1994"/>
      <c r="AM127" s="1831"/>
      <c r="AN127" s="1831"/>
      <c r="AO127" s="1831"/>
      <c r="AP127" s="1831"/>
      <c r="AQ127" s="1831"/>
      <c r="AR127" s="1831"/>
      <c r="AS127" s="1831"/>
      <c r="AT127" s="1831"/>
      <c r="AU127" s="1831"/>
      <c r="AV127" s="1831"/>
      <c r="AW127" s="1831"/>
      <c r="AX127" s="1831"/>
      <c r="AY127" s="1831"/>
      <c r="AZ127" s="1831"/>
      <c r="BA127" s="1831"/>
      <c r="BB127" s="1831"/>
      <c r="BC127" s="1831"/>
      <c r="BD127" s="1831"/>
      <c r="BE127" s="1831"/>
      <c r="BF127" s="1831"/>
      <c r="BG127" s="1644"/>
    </row>
    <row customHeight="1" ht="11.25">
      <c r="A128" s="1175" t="s">
        <v>1036</v>
      </c>
      <c r="B128" s="1175"/>
      <c r="C128" s="1175"/>
      <c r="D128" s="1169"/>
      <c r="E128" s="1179"/>
      <c r="F128" s="1837"/>
      <c r="G128" s="1838"/>
      <c r="H128" s="2543" t="s">
        <v>1134</v>
      </c>
      <c r="I128" s="2544"/>
      <c r="J128" s="2513"/>
      <c r="K128" s="2545"/>
      <c r="L128" s="2135"/>
      <c r="M128" s="2136"/>
      <c r="N128" s="2536"/>
      <c r="O128" s="2537"/>
      <c r="P128" s="2539"/>
      <c r="Q128" s="2725"/>
      <c r="R128" s="2541"/>
      <c r="S128" s="2542"/>
      <c r="T128" s="2541"/>
      <c r="U128" s="2541"/>
      <c r="V128" s="2541"/>
      <c r="W128" s="2541"/>
      <c r="X128" s="2541"/>
      <c r="Y128" s="2541"/>
      <c r="Z128" s="1836"/>
      <c r="AA128" s="1802">
        <v>1</v>
      </c>
      <c r="AB128" s="1188" t="s">
        <v>1081</v>
      </c>
      <c r="AC128" s="1178">
        <v>3616.81</v>
      </c>
      <c r="AD128" s="1188" t="str">
        <f>AB128</f>
        <v>      Амортизационные отчисления с выделением результатов переоценки основных средств и нематериальных активов</v>
      </c>
      <c r="AE128" s="1178">
        <v>2848.83</v>
      </c>
      <c r="AF128" s="2534"/>
      <c r="AG128" s="2535"/>
      <c r="AH128" s="2535"/>
      <c r="AI128" s="2534"/>
      <c r="AJ128" s="2535"/>
      <c r="AK128" s="2535"/>
      <c r="AL128" s="1994"/>
      <c r="AM128" s="1831"/>
      <c r="AN128" s="1831"/>
      <c r="AO128" s="1831"/>
      <c r="AP128" s="1831"/>
      <c r="AQ128" s="1831"/>
      <c r="AR128" s="1831"/>
      <c r="AS128" s="1831"/>
      <c r="AT128" s="1831"/>
      <c r="AU128" s="1831"/>
      <c r="AV128" s="1831"/>
      <c r="AW128" s="1831"/>
      <c r="AX128" s="1831"/>
      <c r="AY128" s="1831"/>
      <c r="AZ128" s="1831"/>
      <c r="BA128" s="1831"/>
      <c r="BB128" s="1831"/>
      <c r="BC128" s="1831"/>
      <c r="BD128" s="1831"/>
      <c r="BE128" s="1831"/>
      <c r="BF128" s="1831"/>
      <c r="BG128" s="1644"/>
    </row>
    <row customHeight="1" ht="11.25">
      <c r="A129" s="1175" t="s">
        <v>1036</v>
      </c>
      <c r="B129" s="1175"/>
      <c r="C129" s="1175"/>
      <c r="D129" s="1169"/>
      <c r="E129" s="1179"/>
      <c r="F129" s="1838"/>
      <c r="G129" s="1838"/>
      <c r="H129" s="1838"/>
      <c r="I129" s="1838"/>
      <c r="J129" s="1838"/>
      <c r="K129" s="1838"/>
      <c r="L129" s="1838"/>
      <c r="M129" s="1838"/>
      <c r="N129" s="1838"/>
      <c r="O129" s="1838"/>
      <c r="P129" s="1838"/>
      <c r="Q129" s="1838"/>
      <c r="R129" s="1838"/>
      <c r="S129" s="1838"/>
      <c r="T129" s="1838"/>
      <c r="U129" s="1838"/>
      <c r="V129" s="1838"/>
      <c r="W129" s="1838"/>
      <c r="X129" s="1838"/>
      <c r="Y129" s="1838"/>
      <c r="Z129" s="692" t="s">
        <v>104</v>
      </c>
      <c r="AA129" s="1822" t="s">
        <v>103</v>
      </c>
      <c r="AB129" s="1188" t="s">
        <v>1125</v>
      </c>
      <c r="AC129" s="1178">
        <v>5832</v>
      </c>
      <c r="AD129" s="1188" t="str">
        <f>AB129</f>
        <v>  Прочие</v>
      </c>
      <c r="AE129" s="1178">
        <v>5832</v>
      </c>
      <c r="AF129" s="2095"/>
      <c r="AG129" s="1767"/>
      <c r="AH129" s="1767"/>
      <c r="AI129" s="2095"/>
      <c r="AJ129" s="1767"/>
      <c r="AK129" s="1993"/>
      <c r="AL129" s="1994"/>
      <c r="AM129" s="1831"/>
      <c r="AN129" s="1831"/>
      <c r="AO129" s="1831"/>
      <c r="AP129" s="1831"/>
      <c r="AQ129" s="1831"/>
      <c r="AR129" s="1831"/>
      <c r="AS129" s="1831"/>
      <c r="AT129" s="1831"/>
      <c r="AU129" s="1831"/>
      <c r="AV129" s="1831"/>
      <c r="AW129" s="1831"/>
      <c r="AX129" s="1831"/>
      <c r="AY129" s="1831"/>
      <c r="AZ129" s="1831"/>
      <c r="BA129" s="1831"/>
      <c r="BB129" s="1831"/>
      <c r="BC129" s="1831"/>
      <c r="BD129" s="1831"/>
      <c r="BE129" s="1831"/>
      <c r="BF129" s="1831"/>
      <c r="BG129" s="1644"/>
    </row>
    <row customHeight="1" ht="11.25">
      <c r="A130" s="1175" t="s">
        <v>1036</v>
      </c>
      <c r="B130" s="1175"/>
      <c r="C130" s="1175"/>
      <c r="D130" s="1169"/>
      <c r="E130" s="1179"/>
      <c r="F130" s="1837"/>
      <c r="G130" s="1838"/>
      <c r="H130" s="2543" t="s">
        <v>1134</v>
      </c>
      <c r="I130" s="2544"/>
      <c r="J130" s="2513"/>
      <c r="K130" s="2545"/>
      <c r="L130" s="2135"/>
      <c r="M130" s="2136"/>
      <c r="N130" s="2536"/>
      <c r="O130" s="2537"/>
      <c r="P130" s="2540"/>
      <c r="Q130" s="2725"/>
      <c r="R130" s="2541"/>
      <c r="S130" s="2542"/>
      <c r="T130" s="2541"/>
      <c r="U130" s="2541"/>
      <c r="V130" s="2541"/>
      <c r="W130" s="2541"/>
      <c r="X130" s="2541"/>
      <c r="Y130" s="2541"/>
      <c r="Z130" s="1184"/>
      <c r="AA130" s="1185"/>
      <c r="AB130" s="1250" t="s">
        <v>1082</v>
      </c>
      <c r="AC130" s="1189"/>
      <c r="AD130" s="1189"/>
      <c r="AE130" s="1191"/>
      <c r="AF130" s="2534"/>
      <c r="AG130" s="2535"/>
      <c r="AH130" s="2535"/>
      <c r="AI130" s="2534"/>
      <c r="AJ130" s="2535"/>
      <c r="AK130" s="2535"/>
      <c r="AL130" s="1994"/>
      <c r="AM130" s="1831"/>
      <c r="AN130" s="1831"/>
      <c r="AO130" s="1831"/>
      <c r="AP130" s="1831"/>
      <c r="AQ130" s="1831"/>
      <c r="AR130" s="1831"/>
      <c r="AS130" s="1831"/>
      <c r="AT130" s="1831"/>
      <c r="AU130" s="1831"/>
      <c r="AV130" s="1831"/>
      <c r="AW130" s="1831"/>
      <c r="AX130" s="1831"/>
      <c r="AY130" s="1831"/>
      <c r="AZ130" s="1831"/>
      <c r="BA130" s="1831"/>
      <c r="BB130" s="1831"/>
      <c r="BC130" s="1831"/>
      <c r="BD130" s="1831"/>
      <c r="BE130" s="1831"/>
      <c r="BF130" s="1831"/>
      <c r="BG130" s="1644"/>
    </row>
    <row customHeight="1" ht="11.25">
      <c r="A131" s="1175" t="s">
        <v>1036</v>
      </c>
      <c r="B131" s="1175"/>
      <c r="C131" s="1175"/>
      <c r="D131" s="1169"/>
      <c r="E131" s="1179"/>
      <c r="F131" s="1837"/>
      <c r="G131" s="1838"/>
      <c r="H131" s="2543" t="s">
        <v>1134</v>
      </c>
      <c r="I131" s="2544"/>
      <c r="J131" s="2513"/>
      <c r="K131" s="2545"/>
      <c r="L131" s="2135"/>
      <c r="M131" s="2136"/>
      <c r="N131" s="1184"/>
      <c r="O131" s="1185"/>
      <c r="P131" s="1177" t="s">
        <v>1083</v>
      </c>
      <c r="Q131" s="1185"/>
      <c r="R131" s="1185"/>
      <c r="S131" s="1185"/>
      <c r="T131" s="1185"/>
      <c r="U131" s="1185"/>
      <c r="V131" s="1185"/>
      <c r="W131" s="1185"/>
      <c r="X131" s="1185"/>
      <c r="Y131" s="1185"/>
      <c r="Z131" s="1185"/>
      <c r="AA131" s="1185"/>
      <c r="AB131" s="1185"/>
      <c r="AC131" s="1185"/>
      <c r="AD131" s="1185"/>
      <c r="AE131" s="1192"/>
      <c r="AF131" s="2534"/>
      <c r="AG131" s="2535"/>
      <c r="AH131" s="2535"/>
      <c r="AI131" s="2534"/>
      <c r="AJ131" s="2535"/>
      <c r="AK131" s="2535"/>
      <c r="AL131" s="1994"/>
      <c r="AM131" s="1831"/>
      <c r="AN131" s="1831"/>
      <c r="AO131" s="1831"/>
      <c r="AP131" s="1831"/>
      <c r="AQ131" s="1831"/>
      <c r="AR131" s="1831"/>
      <c r="AS131" s="1831"/>
      <c r="AT131" s="1831"/>
      <c r="AU131" s="1831"/>
      <c r="AV131" s="1831"/>
      <c r="AW131" s="1831"/>
      <c r="AX131" s="1831"/>
      <c r="AY131" s="1831"/>
      <c r="AZ131" s="1831"/>
      <c r="BA131" s="1831"/>
      <c r="BB131" s="1831"/>
      <c r="BC131" s="1831"/>
      <c r="BD131" s="1831"/>
      <c r="BE131" s="1831"/>
      <c r="BF131" s="1831"/>
      <c r="BG131" s="1644"/>
    </row>
    <row customHeight="1" ht="11.25">
      <c r="A132" s="1175" t="s">
        <v>1036</v>
      </c>
      <c r="B132" s="1175" t="s">
        <v>22</v>
      </c>
      <c r="C132" s="1175"/>
      <c r="D132" s="1169"/>
      <c r="E132" s="1179"/>
      <c r="F132" s="1837"/>
      <c r="G132" s="692" t="s">
        <v>104</v>
      </c>
      <c r="H132" s="2543" t="s">
        <v>1110</v>
      </c>
      <c r="I132" s="2544" t="s">
        <v>1137</v>
      </c>
      <c r="J132" s="2727" t="s">
        <v>22</v>
      </c>
      <c r="K132" s="2545" t="s">
        <v>1138</v>
      </c>
      <c r="L132" s="2135" t="s">
        <v>19</v>
      </c>
      <c r="M132" s="2136"/>
      <c r="N132" s="1992"/>
      <c r="O132" s="1186" t="s">
        <v>391</v>
      </c>
      <c r="P132" s="1187"/>
      <c r="Q132" s="1187"/>
      <c r="R132" s="1187"/>
      <c r="S132" s="1187"/>
      <c r="T132" s="1187"/>
      <c r="U132" s="1187"/>
      <c r="V132" s="1187"/>
      <c r="W132" s="1187"/>
      <c r="X132" s="1187"/>
      <c r="Y132" s="1187"/>
      <c r="Z132" s="1187"/>
      <c r="AA132" s="1187"/>
      <c r="AB132" s="1187"/>
      <c r="AC132" s="1187"/>
      <c r="AD132" s="1187"/>
      <c r="AE132" s="1187"/>
      <c r="AF132" s="2534">
        <v>2</v>
      </c>
      <c r="AG132" s="2535" t="s">
        <v>1072</v>
      </c>
      <c r="AH132" s="2535" t="s">
        <v>1073</v>
      </c>
      <c r="AI132" s="2724"/>
      <c r="AJ132" s="2535" t="s">
        <v>1074</v>
      </c>
      <c r="AK132" s="2535" t="s">
        <v>1074</v>
      </c>
      <c r="AL132" s="1994"/>
      <c r="AM132" s="1831"/>
      <c r="AN132" s="1831"/>
      <c r="AO132" s="1831"/>
      <c r="AP132" s="1831"/>
      <c r="AQ132" s="1831"/>
      <c r="AR132" s="1831"/>
      <c r="AS132" s="1831"/>
      <c r="AT132" s="1831"/>
      <c r="AU132" s="1831"/>
      <c r="AV132" s="1831"/>
      <c r="AW132" s="1831"/>
      <c r="AX132" s="1831"/>
      <c r="AY132" s="1831"/>
      <c r="AZ132" s="1831"/>
      <c r="BA132" s="1831"/>
      <c r="BB132" s="1831"/>
      <c r="BC132" s="1831"/>
      <c r="BD132" s="1831"/>
      <c r="BE132" s="1831"/>
      <c r="BF132" s="1831"/>
      <c r="BG132" s="1644"/>
    </row>
    <row customHeight="1" ht="11.25">
      <c r="A133" s="1175" t="s">
        <v>1036</v>
      </c>
      <c r="B133" s="1175"/>
      <c r="C133" s="1175"/>
      <c r="D133" s="1169"/>
      <c r="E133" s="1179"/>
      <c r="F133" s="1837"/>
      <c r="G133" s="1838"/>
      <c r="H133" s="2543" t="s">
        <v>1080</v>
      </c>
      <c r="I133" s="2544"/>
      <c r="J133" s="2727"/>
      <c r="K133" s="2545"/>
      <c r="L133" s="2135"/>
      <c r="M133" s="2136"/>
      <c r="N133" s="2536"/>
      <c r="O133" s="2537">
        <v>1</v>
      </c>
      <c r="P133" s="2538" t="s">
        <v>63</v>
      </c>
      <c r="Q133" s="2725" t="s">
        <v>1112</v>
      </c>
      <c r="R133" s="2726" t="s">
        <v>1076</v>
      </c>
      <c r="S133" s="2726" t="s">
        <v>106</v>
      </c>
      <c r="T133" s="2726" t="s">
        <v>106</v>
      </c>
      <c r="U133" s="2726" t="s">
        <v>107</v>
      </c>
      <c r="V133" s="2726" t="s">
        <v>1077</v>
      </c>
      <c r="W133" s="2726" t="s">
        <v>1078</v>
      </c>
      <c r="X133" s="2726" t="s">
        <v>1113</v>
      </c>
      <c r="Y133" s="2726" t="s">
        <v>1114</v>
      </c>
      <c r="Z133" s="1184"/>
      <c r="AA133" s="1185"/>
      <c r="AB133" s="1185"/>
      <c r="AC133" s="1189"/>
      <c r="AD133" s="1189"/>
      <c r="AE133" s="1190"/>
      <c r="AF133" s="2534"/>
      <c r="AG133" s="2535"/>
      <c r="AH133" s="2535"/>
      <c r="AI133" s="2724"/>
      <c r="AJ133" s="2535"/>
      <c r="AK133" s="2535"/>
      <c r="AL133" s="1994"/>
      <c r="AM133" s="1831"/>
      <c r="AN133" s="1831"/>
      <c r="AO133" s="1831"/>
      <c r="AP133" s="1831"/>
      <c r="AQ133" s="1831"/>
      <c r="AR133" s="1831"/>
      <c r="AS133" s="1831"/>
      <c r="AT133" s="1831"/>
      <c r="AU133" s="1831"/>
      <c r="AV133" s="1831"/>
      <c r="AW133" s="1831"/>
      <c r="AX133" s="1831"/>
      <c r="AY133" s="1831"/>
      <c r="AZ133" s="1831"/>
      <c r="BA133" s="1831"/>
      <c r="BB133" s="1831"/>
      <c r="BC133" s="1831"/>
      <c r="BD133" s="1831"/>
      <c r="BE133" s="1831"/>
      <c r="BF133" s="1831"/>
      <c r="BG133" s="1644"/>
    </row>
    <row customHeight="1" ht="11.25">
      <c r="A134" s="1175" t="s">
        <v>1036</v>
      </c>
      <c r="B134" s="1175"/>
      <c r="C134" s="1175"/>
      <c r="D134" s="1169"/>
      <c r="E134" s="1179"/>
      <c r="F134" s="1837"/>
      <c r="G134" s="1838"/>
      <c r="H134" s="2543" t="s">
        <v>1080</v>
      </c>
      <c r="I134" s="2544"/>
      <c r="J134" s="2727"/>
      <c r="K134" s="2545"/>
      <c r="L134" s="2135"/>
      <c r="M134" s="2136"/>
      <c r="N134" s="2536"/>
      <c r="O134" s="2537"/>
      <c r="P134" s="2539"/>
      <c r="Q134" s="2725"/>
      <c r="R134" s="2541"/>
      <c r="S134" s="2542"/>
      <c r="T134" s="2541"/>
      <c r="U134" s="2541"/>
      <c r="V134" s="2541"/>
      <c r="W134" s="2541"/>
      <c r="X134" s="2541"/>
      <c r="Y134" s="2541"/>
      <c r="Z134" s="1836"/>
      <c r="AA134" s="1802">
        <v>1</v>
      </c>
      <c r="AB134" s="1188" t="s">
        <v>1081</v>
      </c>
      <c r="AC134" s="1178">
        <v>11995.05</v>
      </c>
      <c r="AD134" s="1188" t="str">
        <f>AB134</f>
        <v>      Амортизационные отчисления с выделением результатов переоценки основных средств и нематериальных активов</v>
      </c>
      <c r="AE134" s="1178">
        <v>9601.89</v>
      </c>
      <c r="AF134" s="2534"/>
      <c r="AG134" s="2535"/>
      <c r="AH134" s="2535"/>
      <c r="AI134" s="2724"/>
      <c r="AJ134" s="2535"/>
      <c r="AK134" s="2535"/>
      <c r="AL134" s="1994"/>
      <c r="AM134" s="1831"/>
      <c r="AN134" s="1831"/>
      <c r="AO134" s="1831"/>
      <c r="AP134" s="1831"/>
      <c r="AQ134" s="1831"/>
      <c r="AR134" s="1831"/>
      <c r="AS134" s="1831"/>
      <c r="AT134" s="1831"/>
      <c r="AU134" s="1831"/>
      <c r="AV134" s="1831"/>
      <c r="AW134" s="1831"/>
      <c r="AX134" s="1831"/>
      <c r="AY134" s="1831"/>
      <c r="AZ134" s="1831"/>
      <c r="BA134" s="1831"/>
      <c r="BB134" s="1831"/>
      <c r="BC134" s="1831"/>
      <c r="BD134" s="1831"/>
      <c r="BE134" s="1831"/>
      <c r="BF134" s="1831"/>
      <c r="BG134" s="1644"/>
    </row>
    <row customHeight="1" ht="11.25">
      <c r="A135" s="1175" t="s">
        <v>1036</v>
      </c>
      <c r="B135" s="1175"/>
      <c r="C135" s="1175"/>
      <c r="D135" s="1169"/>
      <c r="E135" s="1179"/>
      <c r="F135" s="1838"/>
      <c r="G135" s="1838"/>
      <c r="H135" s="1838"/>
      <c r="I135" s="1838"/>
      <c r="J135" s="1838"/>
      <c r="K135" s="1838"/>
      <c r="L135" s="1838"/>
      <c r="M135" s="1838"/>
      <c r="N135" s="1838"/>
      <c r="O135" s="1838"/>
      <c r="P135" s="1838"/>
      <c r="Q135" s="1838"/>
      <c r="R135" s="1838"/>
      <c r="S135" s="1838"/>
      <c r="T135" s="1838"/>
      <c r="U135" s="1838"/>
      <c r="V135" s="1838"/>
      <c r="W135" s="1838"/>
      <c r="X135" s="1838"/>
      <c r="Y135" s="1838"/>
      <c r="Z135" s="692" t="s">
        <v>104</v>
      </c>
      <c r="AA135" s="1822" t="s">
        <v>103</v>
      </c>
      <c r="AB135" s="1188" t="s">
        <v>1125</v>
      </c>
      <c r="AC135" s="1178">
        <v>1505.2</v>
      </c>
      <c r="AD135" s="1188" t="str">
        <f>AB135</f>
        <v>  Прочие</v>
      </c>
      <c r="AE135" s="1178">
        <v>1505.2</v>
      </c>
      <c r="AF135" s="2095"/>
      <c r="AG135" s="1767"/>
      <c r="AH135" s="1767"/>
      <c r="AI135" s="2728"/>
      <c r="AJ135" s="1767"/>
      <c r="AK135" s="1993"/>
      <c r="AL135" s="1994"/>
      <c r="AM135" s="1831"/>
      <c r="AN135" s="1831"/>
      <c r="AO135" s="1831"/>
      <c r="AP135" s="1831"/>
      <c r="AQ135" s="1831"/>
      <c r="AR135" s="1831"/>
      <c r="AS135" s="1831"/>
      <c r="AT135" s="1831"/>
      <c r="AU135" s="1831"/>
      <c r="AV135" s="1831"/>
      <c r="AW135" s="1831"/>
      <c r="AX135" s="1831"/>
      <c r="AY135" s="1831"/>
      <c r="AZ135" s="1831"/>
      <c r="BA135" s="1831"/>
      <c r="BB135" s="1831"/>
      <c r="BC135" s="1831"/>
      <c r="BD135" s="1831"/>
      <c r="BE135" s="1831"/>
      <c r="BF135" s="1831"/>
      <c r="BG135" s="1644"/>
    </row>
    <row customHeight="1" ht="11.25">
      <c r="A136" s="1175" t="s">
        <v>1036</v>
      </c>
      <c r="B136" s="1175"/>
      <c r="C136" s="1175"/>
      <c r="D136" s="1169"/>
      <c r="E136" s="1179"/>
      <c r="F136" s="1837"/>
      <c r="G136" s="1838"/>
      <c r="H136" s="2543" t="s">
        <v>1080</v>
      </c>
      <c r="I136" s="2544"/>
      <c r="J136" s="2727"/>
      <c r="K136" s="2545"/>
      <c r="L136" s="2135"/>
      <c r="M136" s="2136"/>
      <c r="N136" s="2536"/>
      <c r="O136" s="2537"/>
      <c r="P136" s="2540"/>
      <c r="Q136" s="2725"/>
      <c r="R136" s="2541"/>
      <c r="S136" s="2542"/>
      <c r="T136" s="2541"/>
      <c r="U136" s="2541"/>
      <c r="V136" s="2541"/>
      <c r="W136" s="2541"/>
      <c r="X136" s="2541"/>
      <c r="Y136" s="2541"/>
      <c r="Z136" s="1184"/>
      <c r="AA136" s="1185"/>
      <c r="AB136" s="1250" t="s">
        <v>1082</v>
      </c>
      <c r="AC136" s="1189"/>
      <c r="AD136" s="1189"/>
      <c r="AE136" s="1191"/>
      <c r="AF136" s="2534"/>
      <c r="AG136" s="2535"/>
      <c r="AH136" s="2535"/>
      <c r="AI136" s="2724"/>
      <c r="AJ136" s="2535"/>
      <c r="AK136" s="2535"/>
      <c r="AL136" s="1994"/>
      <c r="AM136" s="1831"/>
      <c r="AN136" s="1831"/>
      <c r="AO136" s="1831"/>
      <c r="AP136" s="1831"/>
      <c r="AQ136" s="1831"/>
      <c r="AR136" s="1831"/>
      <c r="AS136" s="1831"/>
      <c r="AT136" s="1831"/>
      <c r="AU136" s="1831"/>
      <c r="AV136" s="1831"/>
      <c r="AW136" s="1831"/>
      <c r="AX136" s="1831"/>
      <c r="AY136" s="1831"/>
      <c r="AZ136" s="1831"/>
      <c r="BA136" s="1831"/>
      <c r="BB136" s="1831"/>
      <c r="BC136" s="1831"/>
      <c r="BD136" s="1831"/>
      <c r="BE136" s="1831"/>
      <c r="BF136" s="1831"/>
      <c r="BG136" s="1644"/>
    </row>
    <row customHeight="1" ht="11.25">
      <c r="A137" s="1175" t="s">
        <v>1036</v>
      </c>
      <c r="B137" s="1175"/>
      <c r="C137" s="1175"/>
      <c r="D137" s="1169"/>
      <c r="E137" s="1179"/>
      <c r="F137" s="1837"/>
      <c r="G137" s="1838"/>
      <c r="H137" s="2543" t="s">
        <v>1080</v>
      </c>
      <c r="I137" s="2544"/>
      <c r="J137" s="2727"/>
      <c r="K137" s="2545"/>
      <c r="L137" s="2135"/>
      <c r="M137" s="2136"/>
      <c r="N137" s="1184"/>
      <c r="O137" s="1185"/>
      <c r="P137" s="1177" t="s">
        <v>1083</v>
      </c>
      <c r="Q137" s="1185"/>
      <c r="R137" s="1185"/>
      <c r="S137" s="1185"/>
      <c r="T137" s="1185"/>
      <c r="U137" s="1185"/>
      <c r="V137" s="1185"/>
      <c r="W137" s="1185"/>
      <c r="X137" s="1185"/>
      <c r="Y137" s="1185"/>
      <c r="Z137" s="1185"/>
      <c r="AA137" s="1185"/>
      <c r="AB137" s="1185"/>
      <c r="AC137" s="1185"/>
      <c r="AD137" s="1185"/>
      <c r="AE137" s="1192"/>
      <c r="AF137" s="2534"/>
      <c r="AG137" s="2535"/>
      <c r="AH137" s="2535"/>
      <c r="AI137" s="2724"/>
      <c r="AJ137" s="2535"/>
      <c r="AK137" s="2535"/>
      <c r="AL137" s="1994"/>
      <c r="AM137" s="1831"/>
      <c r="AN137" s="1831"/>
      <c r="AO137" s="1831"/>
      <c r="AP137" s="1831"/>
      <c r="AQ137" s="1831"/>
      <c r="AR137" s="1831"/>
      <c r="AS137" s="1831"/>
      <c r="AT137" s="1831"/>
      <c r="AU137" s="1831"/>
      <c r="AV137" s="1831"/>
      <c r="AW137" s="1831"/>
      <c r="AX137" s="1831"/>
      <c r="AY137" s="1831"/>
      <c r="AZ137" s="1831"/>
      <c r="BA137" s="1831"/>
      <c r="BB137" s="1831"/>
      <c r="BC137" s="1831"/>
      <c r="BD137" s="1831"/>
      <c r="BE137" s="1831"/>
      <c r="BF137" s="1831"/>
      <c r="BG137" s="1644"/>
    </row>
    <row customHeight="1" ht="11.25">
      <c r="A138" s="1175" t="s">
        <v>1036</v>
      </c>
      <c r="B138" s="1175" t="s">
        <v>22</v>
      </c>
      <c r="C138" s="1175"/>
      <c r="D138" s="1169"/>
      <c r="E138" s="1179"/>
      <c r="F138" s="1837"/>
      <c r="G138" s="692" t="s">
        <v>104</v>
      </c>
      <c r="H138" s="2543" t="s">
        <v>1114</v>
      </c>
      <c r="I138" s="2544" t="s">
        <v>1137</v>
      </c>
      <c r="J138" s="2727" t="s">
        <v>22</v>
      </c>
      <c r="K138" s="2545" t="s">
        <v>1139</v>
      </c>
      <c r="L138" s="2135" t="s">
        <v>19</v>
      </c>
      <c r="M138" s="2136"/>
      <c r="N138" s="1992"/>
      <c r="O138" s="1186" t="s">
        <v>391</v>
      </c>
      <c r="P138" s="1187"/>
      <c r="Q138" s="1187"/>
      <c r="R138" s="1187"/>
      <c r="S138" s="1187"/>
      <c r="T138" s="1187"/>
      <c r="U138" s="1187"/>
      <c r="V138" s="1187"/>
      <c r="W138" s="1187"/>
      <c r="X138" s="1187"/>
      <c r="Y138" s="1187"/>
      <c r="Z138" s="1187"/>
      <c r="AA138" s="1187"/>
      <c r="AB138" s="1187"/>
      <c r="AC138" s="1187"/>
      <c r="AD138" s="1187"/>
      <c r="AE138" s="1187"/>
      <c r="AF138" s="2534">
        <v>2</v>
      </c>
      <c r="AG138" s="2535" t="s">
        <v>1072</v>
      </c>
      <c r="AH138" s="2535" t="s">
        <v>1073</v>
      </c>
      <c r="AI138" s="2724"/>
      <c r="AJ138" s="2535" t="s">
        <v>1074</v>
      </c>
      <c r="AK138" s="2535" t="s">
        <v>1074</v>
      </c>
      <c r="AL138" s="1994"/>
      <c r="AM138" s="1831"/>
      <c r="AN138" s="1831"/>
      <c r="AO138" s="1831"/>
      <c r="AP138" s="1831"/>
      <c r="AQ138" s="1831"/>
      <c r="AR138" s="1831"/>
      <c r="AS138" s="1831"/>
      <c r="AT138" s="1831"/>
      <c r="AU138" s="1831"/>
      <c r="AV138" s="1831"/>
      <c r="AW138" s="1831"/>
      <c r="AX138" s="1831"/>
      <c r="AY138" s="1831"/>
      <c r="AZ138" s="1831"/>
      <c r="BA138" s="1831"/>
      <c r="BB138" s="1831"/>
      <c r="BC138" s="1831"/>
      <c r="BD138" s="1831"/>
      <c r="BE138" s="1831"/>
      <c r="BF138" s="1831"/>
      <c r="BG138" s="1644"/>
    </row>
    <row customHeight="1" ht="11.25">
      <c r="A139" s="1175" t="s">
        <v>1036</v>
      </c>
      <c r="B139" s="1175"/>
      <c r="C139" s="1175"/>
      <c r="D139" s="1169"/>
      <c r="E139" s="1179"/>
      <c r="F139" s="1837"/>
      <c r="G139" s="1838"/>
      <c r="H139" s="2543" t="s">
        <v>1110</v>
      </c>
      <c r="I139" s="2544"/>
      <c r="J139" s="2727"/>
      <c r="K139" s="2545"/>
      <c r="L139" s="2135"/>
      <c r="M139" s="2136"/>
      <c r="N139" s="2536"/>
      <c r="O139" s="2537">
        <v>1</v>
      </c>
      <c r="P139" s="2538" t="s">
        <v>63</v>
      </c>
      <c r="Q139" s="2725" t="s">
        <v>1101</v>
      </c>
      <c r="R139" s="2726" t="s">
        <v>1076</v>
      </c>
      <c r="S139" s="2726" t="s">
        <v>106</v>
      </c>
      <c r="T139" s="2726" t="s">
        <v>106</v>
      </c>
      <c r="U139" s="2726" t="s">
        <v>107</v>
      </c>
      <c r="V139" s="2726" t="s">
        <v>1077</v>
      </c>
      <c r="W139" s="2726" t="s">
        <v>1078</v>
      </c>
      <c r="X139" s="2726" t="s">
        <v>1102</v>
      </c>
      <c r="Y139" s="2726" t="s">
        <v>1103</v>
      </c>
      <c r="Z139" s="1184"/>
      <c r="AA139" s="1185"/>
      <c r="AB139" s="1185"/>
      <c r="AC139" s="1189"/>
      <c r="AD139" s="1189"/>
      <c r="AE139" s="1190"/>
      <c r="AF139" s="2534"/>
      <c r="AG139" s="2535"/>
      <c r="AH139" s="2535"/>
      <c r="AI139" s="2724"/>
      <c r="AJ139" s="2535"/>
      <c r="AK139" s="2535"/>
      <c r="AL139" s="1994"/>
      <c r="AM139" s="1831"/>
      <c r="AN139" s="1831"/>
      <c r="AO139" s="1831"/>
      <c r="AP139" s="1831"/>
      <c r="AQ139" s="1831"/>
      <c r="AR139" s="1831"/>
      <c r="AS139" s="1831"/>
      <c r="AT139" s="1831"/>
      <c r="AU139" s="1831"/>
      <c r="AV139" s="1831"/>
      <c r="AW139" s="1831"/>
      <c r="AX139" s="1831"/>
      <c r="AY139" s="1831"/>
      <c r="AZ139" s="1831"/>
      <c r="BA139" s="1831"/>
      <c r="BB139" s="1831"/>
      <c r="BC139" s="1831"/>
      <c r="BD139" s="1831"/>
      <c r="BE139" s="1831"/>
      <c r="BF139" s="1831"/>
      <c r="BG139" s="1644"/>
    </row>
    <row customHeight="1" ht="11.25">
      <c r="A140" s="1175" t="s">
        <v>1036</v>
      </c>
      <c r="B140" s="1175"/>
      <c r="C140" s="1175"/>
      <c r="D140" s="1169"/>
      <c r="E140" s="1179"/>
      <c r="F140" s="1837"/>
      <c r="G140" s="1838"/>
      <c r="H140" s="2543" t="s">
        <v>1110</v>
      </c>
      <c r="I140" s="2544"/>
      <c r="J140" s="2727"/>
      <c r="K140" s="2545"/>
      <c r="L140" s="2135"/>
      <c r="M140" s="2136"/>
      <c r="N140" s="2536"/>
      <c r="O140" s="2537"/>
      <c r="P140" s="2539"/>
      <c r="Q140" s="2725"/>
      <c r="R140" s="2541"/>
      <c r="S140" s="2542"/>
      <c r="T140" s="2541"/>
      <c r="U140" s="2541"/>
      <c r="V140" s="2541"/>
      <c r="W140" s="2541"/>
      <c r="X140" s="2541"/>
      <c r="Y140" s="2541"/>
      <c r="Z140" s="1836"/>
      <c r="AA140" s="1802">
        <v>1</v>
      </c>
      <c r="AB140" s="1188" t="s">
        <v>1081</v>
      </c>
      <c r="AC140" s="1178">
        <v>7839.04</v>
      </c>
      <c r="AD140" s="1188" t="str">
        <f>AB140</f>
        <v>      Амортизационные отчисления с выделением результатов переоценки основных средств и нематериальных активов</v>
      </c>
      <c r="AE140" s="1178">
        <v>6652.68</v>
      </c>
      <c r="AF140" s="2534"/>
      <c r="AG140" s="2535"/>
      <c r="AH140" s="2535"/>
      <c r="AI140" s="2724"/>
      <c r="AJ140" s="2535"/>
      <c r="AK140" s="2535"/>
      <c r="AL140" s="1994"/>
      <c r="AM140" s="1831"/>
      <c r="AN140" s="1831"/>
      <c r="AO140" s="1831"/>
      <c r="AP140" s="1831"/>
      <c r="AQ140" s="1831"/>
      <c r="AR140" s="1831"/>
      <c r="AS140" s="1831"/>
      <c r="AT140" s="1831"/>
      <c r="AU140" s="1831"/>
      <c r="AV140" s="1831"/>
      <c r="AW140" s="1831"/>
      <c r="AX140" s="1831"/>
      <c r="AY140" s="1831"/>
      <c r="AZ140" s="1831"/>
      <c r="BA140" s="1831"/>
      <c r="BB140" s="1831"/>
      <c r="BC140" s="1831"/>
      <c r="BD140" s="1831"/>
      <c r="BE140" s="1831"/>
      <c r="BF140" s="1831"/>
      <c r="BG140" s="1644"/>
    </row>
    <row customHeight="1" ht="11.25">
      <c r="A141" s="1175" t="s">
        <v>1036</v>
      </c>
      <c r="B141" s="1175"/>
      <c r="C141" s="1175"/>
      <c r="D141" s="1169"/>
      <c r="E141" s="1179"/>
      <c r="F141" s="1838"/>
      <c r="G141" s="1838"/>
      <c r="H141" s="1838"/>
      <c r="I141" s="1838"/>
      <c r="J141" s="1838"/>
      <c r="K141" s="1838"/>
      <c r="L141" s="1838"/>
      <c r="M141" s="1838"/>
      <c r="N141" s="1838"/>
      <c r="O141" s="1838"/>
      <c r="P141" s="1838"/>
      <c r="Q141" s="1838"/>
      <c r="R141" s="1838"/>
      <c r="S141" s="1838"/>
      <c r="T141" s="1838"/>
      <c r="U141" s="1838"/>
      <c r="V141" s="1838"/>
      <c r="W141" s="1838"/>
      <c r="X141" s="1838"/>
      <c r="Y141" s="1838"/>
      <c r="Z141" s="692" t="s">
        <v>104</v>
      </c>
      <c r="AA141" s="1822" t="s">
        <v>103</v>
      </c>
      <c r="AB141" s="1188" t="s">
        <v>1125</v>
      </c>
      <c r="AC141" s="1178">
        <v>1696.9</v>
      </c>
      <c r="AD141" s="1188" t="str">
        <f>AB141</f>
        <v>  Прочие</v>
      </c>
      <c r="AE141" s="1178">
        <v>1696.9</v>
      </c>
      <c r="AF141" s="2095"/>
      <c r="AG141" s="1767"/>
      <c r="AH141" s="1767"/>
      <c r="AI141" s="2728"/>
      <c r="AJ141" s="1767"/>
      <c r="AK141" s="1993"/>
      <c r="AL141" s="1994"/>
      <c r="AM141" s="1831"/>
      <c r="AN141" s="1831"/>
      <c r="AO141" s="1831"/>
      <c r="AP141" s="1831"/>
      <c r="AQ141" s="1831"/>
      <c r="AR141" s="1831"/>
      <c r="AS141" s="1831"/>
      <c r="AT141" s="1831"/>
      <c r="AU141" s="1831"/>
      <c r="AV141" s="1831"/>
      <c r="AW141" s="1831"/>
      <c r="AX141" s="1831"/>
      <c r="AY141" s="1831"/>
      <c r="AZ141" s="1831"/>
      <c r="BA141" s="1831"/>
      <c r="BB141" s="1831"/>
      <c r="BC141" s="1831"/>
      <c r="BD141" s="1831"/>
      <c r="BE141" s="1831"/>
      <c r="BF141" s="1831"/>
      <c r="BG141" s="1644"/>
    </row>
    <row customHeight="1" ht="11.25">
      <c r="A142" s="1175" t="s">
        <v>1036</v>
      </c>
      <c r="B142" s="1175"/>
      <c r="C142" s="1175"/>
      <c r="D142" s="1169"/>
      <c r="E142" s="1179"/>
      <c r="F142" s="1837"/>
      <c r="G142" s="1838"/>
      <c r="H142" s="2543" t="s">
        <v>1110</v>
      </c>
      <c r="I142" s="2544"/>
      <c r="J142" s="2727"/>
      <c r="K142" s="2545"/>
      <c r="L142" s="2135"/>
      <c r="M142" s="2136"/>
      <c r="N142" s="2536"/>
      <c r="O142" s="2537"/>
      <c r="P142" s="2540"/>
      <c r="Q142" s="2725"/>
      <c r="R142" s="2541"/>
      <c r="S142" s="2542"/>
      <c r="T142" s="2541"/>
      <c r="U142" s="2541"/>
      <c r="V142" s="2541"/>
      <c r="W142" s="2541"/>
      <c r="X142" s="2541"/>
      <c r="Y142" s="2541"/>
      <c r="Z142" s="1184"/>
      <c r="AA142" s="1185"/>
      <c r="AB142" s="1250" t="s">
        <v>1082</v>
      </c>
      <c r="AC142" s="1189"/>
      <c r="AD142" s="1189"/>
      <c r="AE142" s="1191"/>
      <c r="AF142" s="2534"/>
      <c r="AG142" s="2535"/>
      <c r="AH142" s="2535"/>
      <c r="AI142" s="2724"/>
      <c r="AJ142" s="2535"/>
      <c r="AK142" s="2535"/>
      <c r="AL142" s="1994"/>
      <c r="AM142" s="1831"/>
      <c r="AN142" s="1831"/>
      <c r="AO142" s="1831"/>
      <c r="AP142" s="1831"/>
      <c r="AQ142" s="1831"/>
      <c r="AR142" s="1831"/>
      <c r="AS142" s="1831"/>
      <c r="AT142" s="1831"/>
      <c r="AU142" s="1831"/>
      <c r="AV142" s="1831"/>
      <c r="AW142" s="1831"/>
      <c r="AX142" s="1831"/>
      <c r="AY142" s="1831"/>
      <c r="AZ142" s="1831"/>
      <c r="BA142" s="1831"/>
      <c r="BB142" s="1831"/>
      <c r="BC142" s="1831"/>
      <c r="BD142" s="1831"/>
      <c r="BE142" s="1831"/>
      <c r="BF142" s="1831"/>
      <c r="BG142" s="1644"/>
    </row>
    <row customHeight="1" ht="11.25">
      <c r="A143" s="1175" t="s">
        <v>1036</v>
      </c>
      <c r="B143" s="1175"/>
      <c r="C143" s="1175"/>
      <c r="D143" s="1169"/>
      <c r="E143" s="1179"/>
      <c r="F143" s="1837"/>
      <c r="G143" s="1838"/>
      <c r="H143" s="2543" t="s">
        <v>1110</v>
      </c>
      <c r="I143" s="2544"/>
      <c r="J143" s="2727"/>
      <c r="K143" s="2545"/>
      <c r="L143" s="2135"/>
      <c r="M143" s="2136"/>
      <c r="N143" s="1184"/>
      <c r="O143" s="1185"/>
      <c r="P143" s="1177" t="s">
        <v>1083</v>
      </c>
      <c r="Q143" s="1185"/>
      <c r="R143" s="1185"/>
      <c r="S143" s="1185"/>
      <c r="T143" s="1185"/>
      <c r="U143" s="1185"/>
      <c r="V143" s="1185"/>
      <c r="W143" s="1185"/>
      <c r="X143" s="1185"/>
      <c r="Y143" s="1185"/>
      <c r="Z143" s="1185"/>
      <c r="AA143" s="1185"/>
      <c r="AB143" s="1185"/>
      <c r="AC143" s="1185"/>
      <c r="AD143" s="1185"/>
      <c r="AE143" s="1192"/>
      <c r="AF143" s="2534"/>
      <c r="AG143" s="2535"/>
      <c r="AH143" s="2535"/>
      <c r="AI143" s="2724"/>
      <c r="AJ143" s="2535"/>
      <c r="AK143" s="2535"/>
      <c r="AL143" s="1994"/>
      <c r="AM143" s="1831"/>
      <c r="AN143" s="1831"/>
      <c r="AO143" s="1831"/>
      <c r="AP143" s="1831"/>
      <c r="AQ143" s="1831"/>
      <c r="AR143" s="1831"/>
      <c r="AS143" s="1831"/>
      <c r="AT143" s="1831"/>
      <c r="AU143" s="1831"/>
      <c r="AV143" s="1831"/>
      <c r="AW143" s="1831"/>
      <c r="AX143" s="1831"/>
      <c r="AY143" s="1831"/>
      <c r="AZ143" s="1831"/>
      <c r="BA143" s="1831"/>
      <c r="BB143" s="1831"/>
      <c r="BC143" s="1831"/>
      <c r="BD143" s="1831"/>
      <c r="BE143" s="1831"/>
      <c r="BF143" s="1831"/>
      <c r="BG143" s="1644"/>
    </row>
    <row customHeight="1" ht="11.25">
      <c r="A144" s="1175" t="s">
        <v>1036</v>
      </c>
      <c r="B144" s="1175" t="s">
        <v>22</v>
      </c>
      <c r="C144" s="1175"/>
      <c r="D144" s="1169"/>
      <c r="E144" s="1179"/>
      <c r="F144" s="1837"/>
      <c r="G144" s="692" t="s">
        <v>104</v>
      </c>
      <c r="H144" s="2543" t="s">
        <v>1140</v>
      </c>
      <c r="I144" s="2544" t="s">
        <v>1137</v>
      </c>
      <c r="J144" s="2727" t="s">
        <v>22</v>
      </c>
      <c r="K144" s="2545" t="s">
        <v>1141</v>
      </c>
      <c r="L144" s="2135" t="s">
        <v>19</v>
      </c>
      <c r="M144" s="2136"/>
      <c r="N144" s="1992"/>
      <c r="O144" s="1186" t="s">
        <v>391</v>
      </c>
      <c r="P144" s="1187"/>
      <c r="Q144" s="1187"/>
      <c r="R144" s="1187"/>
      <c r="S144" s="1187"/>
      <c r="T144" s="1187"/>
      <c r="U144" s="1187"/>
      <c r="V144" s="1187"/>
      <c r="W144" s="1187"/>
      <c r="X144" s="1187"/>
      <c r="Y144" s="1187"/>
      <c r="Z144" s="1187"/>
      <c r="AA144" s="1187"/>
      <c r="AB144" s="1187"/>
      <c r="AC144" s="1187"/>
      <c r="AD144" s="1187"/>
      <c r="AE144" s="1187"/>
      <c r="AF144" s="2534">
        <v>1</v>
      </c>
      <c r="AG144" s="2535" t="s">
        <v>1072</v>
      </c>
      <c r="AH144" s="2535" t="s">
        <v>1085</v>
      </c>
      <c r="AI144" s="2905"/>
      <c r="AJ144" s="2535" t="s">
        <v>1089</v>
      </c>
      <c r="AK144" s="2535" t="s">
        <v>1089</v>
      </c>
      <c r="AL144" s="1994"/>
      <c r="AM144" s="1831"/>
      <c r="AN144" s="1831"/>
      <c r="AO144" s="1831"/>
      <c r="AP144" s="1831"/>
      <c r="AQ144" s="1831"/>
      <c r="AR144" s="1831"/>
      <c r="AS144" s="1831"/>
      <c r="AT144" s="1831"/>
      <c r="AU144" s="1831"/>
      <c r="AV144" s="1831"/>
      <c r="AW144" s="1831"/>
      <c r="AX144" s="1831"/>
      <c r="AY144" s="1831"/>
      <c r="AZ144" s="1831"/>
      <c r="BA144" s="1831"/>
      <c r="BB144" s="1831"/>
      <c r="BC144" s="1831"/>
      <c r="BD144" s="1831"/>
      <c r="BE144" s="1831"/>
      <c r="BF144" s="1831"/>
      <c r="BG144" s="1644"/>
    </row>
    <row customHeight="1" ht="11.25">
      <c r="A145" s="1175" t="s">
        <v>1036</v>
      </c>
      <c r="B145" s="1175"/>
      <c r="C145" s="1175"/>
      <c r="D145" s="1169"/>
      <c r="E145" s="1179"/>
      <c r="F145" s="1837"/>
      <c r="G145" s="1838"/>
      <c r="H145" s="2543" t="s">
        <v>1114</v>
      </c>
      <c r="I145" s="2544"/>
      <c r="J145" s="2727"/>
      <c r="K145" s="2545"/>
      <c r="L145" s="2135"/>
      <c r="M145" s="2136"/>
      <c r="N145" s="2536"/>
      <c r="O145" s="2537">
        <v>1</v>
      </c>
      <c r="P145" s="2538" t="s">
        <v>63</v>
      </c>
      <c r="Q145" s="2725" t="s">
        <v>1101</v>
      </c>
      <c r="R145" s="2726" t="s">
        <v>1076</v>
      </c>
      <c r="S145" s="2726" t="s">
        <v>106</v>
      </c>
      <c r="T145" s="2726" t="s">
        <v>106</v>
      </c>
      <c r="U145" s="2726" t="s">
        <v>107</v>
      </c>
      <c r="V145" s="2726" t="s">
        <v>1077</v>
      </c>
      <c r="W145" s="2726" t="s">
        <v>1078</v>
      </c>
      <c r="X145" s="2726" t="s">
        <v>1102</v>
      </c>
      <c r="Y145" s="2726" t="s">
        <v>1103</v>
      </c>
      <c r="Z145" s="1184"/>
      <c r="AA145" s="1185"/>
      <c r="AB145" s="1185"/>
      <c r="AC145" s="1189"/>
      <c r="AD145" s="1189"/>
      <c r="AE145" s="1190"/>
      <c r="AF145" s="2534"/>
      <c r="AG145" s="2535"/>
      <c r="AH145" s="2535"/>
      <c r="AI145" s="2905"/>
      <c r="AJ145" s="2535"/>
      <c r="AK145" s="2535"/>
      <c r="AL145" s="1994"/>
      <c r="AM145" s="1831"/>
      <c r="AN145" s="1831"/>
      <c r="AO145" s="1831"/>
      <c r="AP145" s="1831"/>
      <c r="AQ145" s="1831"/>
      <c r="AR145" s="1831"/>
      <c r="AS145" s="1831"/>
      <c r="AT145" s="1831"/>
      <c r="AU145" s="1831"/>
      <c r="AV145" s="1831"/>
      <c r="AW145" s="1831"/>
      <c r="AX145" s="1831"/>
      <c r="AY145" s="1831"/>
      <c r="AZ145" s="1831"/>
      <c r="BA145" s="1831"/>
      <c r="BB145" s="1831"/>
      <c r="BC145" s="1831"/>
      <c r="BD145" s="1831"/>
      <c r="BE145" s="1831"/>
      <c r="BF145" s="1831"/>
      <c r="BG145" s="1644"/>
    </row>
    <row customHeight="1" ht="11.25">
      <c r="A146" s="1175" t="s">
        <v>1036</v>
      </c>
      <c r="B146" s="1175"/>
      <c r="C146" s="1175"/>
      <c r="D146" s="1169"/>
      <c r="E146" s="1179"/>
      <c r="F146" s="1837"/>
      <c r="G146" s="1838"/>
      <c r="H146" s="2543" t="s">
        <v>1114</v>
      </c>
      <c r="I146" s="2544"/>
      <c r="J146" s="2727"/>
      <c r="K146" s="2545"/>
      <c r="L146" s="2135"/>
      <c r="M146" s="2136"/>
      <c r="N146" s="2536"/>
      <c r="O146" s="2537"/>
      <c r="P146" s="2539"/>
      <c r="Q146" s="2725"/>
      <c r="R146" s="2541"/>
      <c r="S146" s="2542"/>
      <c r="T146" s="2541"/>
      <c r="U146" s="2541"/>
      <c r="V146" s="2541"/>
      <c r="W146" s="2541"/>
      <c r="X146" s="2541"/>
      <c r="Y146" s="2541"/>
      <c r="Z146" s="1836"/>
      <c r="AA146" s="1802">
        <v>1</v>
      </c>
      <c r="AB146" s="1188" t="s">
        <v>1081</v>
      </c>
      <c r="AC146" s="1178">
        <v>7032.95</v>
      </c>
      <c r="AD146" s="1188" t="str">
        <f>AB146</f>
        <v>      Амортизационные отчисления с выделением результатов переоценки основных средств и нематериальных активов</v>
      </c>
      <c r="AE146" s="1178">
        <v>1259.15</v>
      </c>
      <c r="AF146" s="2534"/>
      <c r="AG146" s="2535"/>
      <c r="AH146" s="2535"/>
      <c r="AI146" s="2905"/>
      <c r="AJ146" s="2535"/>
      <c r="AK146" s="2535"/>
      <c r="AL146" s="1994"/>
      <c r="AM146" s="1831"/>
      <c r="AN146" s="1831"/>
      <c r="AO146" s="1831"/>
      <c r="AP146" s="1831"/>
      <c r="AQ146" s="1831"/>
      <c r="AR146" s="1831"/>
      <c r="AS146" s="1831"/>
      <c r="AT146" s="1831"/>
      <c r="AU146" s="1831"/>
      <c r="AV146" s="1831"/>
      <c r="AW146" s="1831"/>
      <c r="AX146" s="1831"/>
      <c r="AY146" s="1831"/>
      <c r="AZ146" s="1831"/>
      <c r="BA146" s="1831"/>
      <c r="BB146" s="1831"/>
      <c r="BC146" s="1831"/>
      <c r="BD146" s="1831"/>
      <c r="BE146" s="1831"/>
      <c r="BF146" s="1831"/>
      <c r="BG146" s="1644"/>
    </row>
    <row customHeight="1" ht="11.25">
      <c r="A147" s="1175" t="s">
        <v>1036</v>
      </c>
      <c r="B147" s="1175"/>
      <c r="C147" s="1175"/>
      <c r="D147" s="1169"/>
      <c r="E147" s="1179"/>
      <c r="F147" s="1837"/>
      <c r="G147" s="1838"/>
      <c r="H147" s="2543" t="s">
        <v>1114</v>
      </c>
      <c r="I147" s="2544"/>
      <c r="J147" s="2727"/>
      <c r="K147" s="2545"/>
      <c r="L147" s="2135"/>
      <c r="M147" s="2136"/>
      <c r="N147" s="2536"/>
      <c r="O147" s="2537"/>
      <c r="P147" s="2540"/>
      <c r="Q147" s="2725"/>
      <c r="R147" s="2541"/>
      <c r="S147" s="2542"/>
      <c r="T147" s="2541"/>
      <c r="U147" s="2541"/>
      <c r="V147" s="2541"/>
      <c r="W147" s="2541"/>
      <c r="X147" s="2541"/>
      <c r="Y147" s="2541"/>
      <c r="Z147" s="1184"/>
      <c r="AA147" s="1185"/>
      <c r="AB147" s="1250" t="s">
        <v>1082</v>
      </c>
      <c r="AC147" s="1189"/>
      <c r="AD147" s="1189"/>
      <c r="AE147" s="1191"/>
      <c r="AF147" s="2534"/>
      <c r="AG147" s="2535"/>
      <c r="AH147" s="2535"/>
      <c r="AI147" s="2905"/>
      <c r="AJ147" s="2535"/>
      <c r="AK147" s="2535"/>
      <c r="AL147" s="1994"/>
      <c r="AM147" s="1831"/>
      <c r="AN147" s="1831"/>
      <c r="AO147" s="1831"/>
      <c r="AP147" s="1831"/>
      <c r="AQ147" s="1831"/>
      <c r="AR147" s="1831"/>
      <c r="AS147" s="1831"/>
      <c r="AT147" s="1831"/>
      <c r="AU147" s="1831"/>
      <c r="AV147" s="1831"/>
      <c r="AW147" s="1831"/>
      <c r="AX147" s="1831"/>
      <c r="AY147" s="1831"/>
      <c r="AZ147" s="1831"/>
      <c r="BA147" s="1831"/>
      <c r="BB147" s="1831"/>
      <c r="BC147" s="1831"/>
      <c r="BD147" s="1831"/>
      <c r="BE147" s="1831"/>
      <c r="BF147" s="1831"/>
      <c r="BG147" s="1644"/>
    </row>
    <row customHeight="1" ht="11.25">
      <c r="A148" s="1175" t="s">
        <v>1036</v>
      </c>
      <c r="B148" s="1175"/>
      <c r="C148" s="1175"/>
      <c r="D148" s="1169"/>
      <c r="E148" s="1179"/>
      <c r="F148" s="1837"/>
      <c r="G148" s="1838"/>
      <c r="H148" s="2543" t="s">
        <v>1114</v>
      </c>
      <c r="I148" s="2544"/>
      <c r="J148" s="2727"/>
      <c r="K148" s="2545"/>
      <c r="L148" s="2135"/>
      <c r="M148" s="2136"/>
      <c r="N148" s="1184"/>
      <c r="O148" s="1185"/>
      <c r="P148" s="1177" t="s">
        <v>1083</v>
      </c>
      <c r="Q148" s="1185"/>
      <c r="R148" s="1185"/>
      <c r="S148" s="1185"/>
      <c r="T148" s="1185"/>
      <c r="U148" s="1185"/>
      <c r="V148" s="1185"/>
      <c r="W148" s="1185"/>
      <c r="X148" s="1185"/>
      <c r="Y148" s="1185"/>
      <c r="Z148" s="1185"/>
      <c r="AA148" s="1185"/>
      <c r="AB148" s="1185"/>
      <c r="AC148" s="1185"/>
      <c r="AD148" s="1185"/>
      <c r="AE148" s="1192"/>
      <c r="AF148" s="2534"/>
      <c r="AG148" s="2535"/>
      <c r="AH148" s="2535"/>
      <c r="AI148" s="2905"/>
      <c r="AJ148" s="2535"/>
      <c r="AK148" s="2535"/>
      <c r="AL148" s="1994"/>
      <c r="AM148" s="1831"/>
      <c r="AN148" s="1831"/>
      <c r="AO148" s="1831"/>
      <c r="AP148" s="1831"/>
      <c r="AQ148" s="1831"/>
      <c r="AR148" s="1831"/>
      <c r="AS148" s="1831"/>
      <c r="AT148" s="1831"/>
      <c r="AU148" s="1831"/>
      <c r="AV148" s="1831"/>
      <c r="AW148" s="1831"/>
      <c r="AX148" s="1831"/>
      <c r="AY148" s="1831"/>
      <c r="AZ148" s="1831"/>
      <c r="BA148" s="1831"/>
      <c r="BB148" s="1831"/>
      <c r="BC148" s="1831"/>
      <c r="BD148" s="1831"/>
      <c r="BE148" s="1831"/>
      <c r="BF148" s="1831"/>
      <c r="BG148" s="1644"/>
    </row>
    <row customHeight="1" ht="11.25">
      <c r="A149" s="1175" t="s">
        <v>1036</v>
      </c>
      <c r="B149" s="1175" t="s">
        <v>22</v>
      </c>
      <c r="C149" s="1175"/>
      <c r="D149" s="1169"/>
      <c r="E149" s="1179"/>
      <c r="F149" s="1837"/>
      <c r="G149" s="692" t="s">
        <v>104</v>
      </c>
      <c r="H149" s="2543" t="s">
        <v>1142</v>
      </c>
      <c r="I149" s="2544" t="s">
        <v>1143</v>
      </c>
      <c r="J149" s="2727" t="s">
        <v>22</v>
      </c>
      <c r="K149" s="2545" t="s">
        <v>1144</v>
      </c>
      <c r="L149" s="2135" t="s">
        <v>19</v>
      </c>
      <c r="M149" s="2136"/>
      <c r="N149" s="1992"/>
      <c r="O149" s="1186" t="s">
        <v>391</v>
      </c>
      <c r="P149" s="1187"/>
      <c r="Q149" s="1187"/>
      <c r="R149" s="1187"/>
      <c r="S149" s="1187"/>
      <c r="T149" s="1187"/>
      <c r="U149" s="1187"/>
      <c r="V149" s="1187"/>
      <c r="W149" s="1187"/>
      <c r="X149" s="1187"/>
      <c r="Y149" s="1187"/>
      <c r="Z149" s="1187"/>
      <c r="AA149" s="1187"/>
      <c r="AB149" s="1187"/>
      <c r="AC149" s="1187"/>
      <c r="AD149" s="1187"/>
      <c r="AE149" s="1187"/>
      <c r="AF149" s="2534">
        <v>2</v>
      </c>
      <c r="AG149" s="2535" t="s">
        <v>1072</v>
      </c>
      <c r="AH149" s="2535" t="s">
        <v>1073</v>
      </c>
      <c r="AI149" s="2906">
        <v>1</v>
      </c>
      <c r="AJ149" s="2535" t="s">
        <v>1145</v>
      </c>
      <c r="AK149" s="2535" t="s">
        <v>1085</v>
      </c>
      <c r="AL149" s="1994"/>
      <c r="AM149" s="1831"/>
      <c r="AN149" s="1831"/>
      <c r="AO149" s="1831"/>
      <c r="AP149" s="1831"/>
      <c r="AQ149" s="1831"/>
      <c r="AR149" s="1831"/>
      <c r="AS149" s="1831"/>
      <c r="AT149" s="1831"/>
      <c r="AU149" s="1831"/>
      <c r="AV149" s="1831"/>
      <c r="AW149" s="1831"/>
      <c r="AX149" s="1831"/>
      <c r="AY149" s="1831"/>
      <c r="AZ149" s="1831"/>
      <c r="BA149" s="1831"/>
      <c r="BB149" s="1831"/>
      <c r="BC149" s="1831"/>
      <c r="BD149" s="1831"/>
      <c r="BE149" s="1831"/>
      <c r="BF149" s="1831"/>
      <c r="BG149" s="1644"/>
    </row>
    <row customHeight="1" ht="11.25">
      <c r="A150" s="1175" t="s">
        <v>1036</v>
      </c>
      <c r="B150" s="1175"/>
      <c r="C150" s="1175"/>
      <c r="D150" s="1169"/>
      <c r="E150" s="1179"/>
      <c r="F150" s="1837"/>
      <c r="G150" s="1838"/>
      <c r="H150" s="2543" t="s">
        <v>1140</v>
      </c>
      <c r="I150" s="2544"/>
      <c r="J150" s="2727"/>
      <c r="K150" s="2545"/>
      <c r="L150" s="2135"/>
      <c r="M150" s="2136"/>
      <c r="N150" s="2536"/>
      <c r="O150" s="2537">
        <v>1</v>
      </c>
      <c r="P150" s="2538" t="s">
        <v>63</v>
      </c>
      <c r="Q150" s="2725" t="s">
        <v>1101</v>
      </c>
      <c r="R150" s="2726" t="s">
        <v>1076</v>
      </c>
      <c r="S150" s="2726" t="s">
        <v>106</v>
      </c>
      <c r="T150" s="2726" t="s">
        <v>106</v>
      </c>
      <c r="U150" s="2726" t="s">
        <v>107</v>
      </c>
      <c r="V150" s="2726" t="s">
        <v>1077</v>
      </c>
      <c r="W150" s="2726" t="s">
        <v>1078</v>
      </c>
      <c r="X150" s="2726" t="s">
        <v>1102</v>
      </c>
      <c r="Y150" s="2726" t="s">
        <v>1103</v>
      </c>
      <c r="Z150" s="1184"/>
      <c r="AA150" s="1185"/>
      <c r="AB150" s="1185"/>
      <c r="AC150" s="1189"/>
      <c r="AD150" s="1189"/>
      <c r="AE150" s="1190"/>
      <c r="AF150" s="2534"/>
      <c r="AG150" s="2535"/>
      <c r="AH150" s="2535"/>
      <c r="AI150" s="2906"/>
      <c r="AJ150" s="2535"/>
      <c r="AK150" s="2535"/>
      <c r="AL150" s="1994"/>
      <c r="AM150" s="1831"/>
      <c r="AN150" s="1831"/>
      <c r="AO150" s="1831"/>
      <c r="AP150" s="1831"/>
      <c r="AQ150" s="1831"/>
      <c r="AR150" s="1831"/>
      <c r="AS150" s="1831"/>
      <c r="AT150" s="1831"/>
      <c r="AU150" s="1831"/>
      <c r="AV150" s="1831"/>
      <c r="AW150" s="1831"/>
      <c r="AX150" s="1831"/>
      <c r="AY150" s="1831"/>
      <c r="AZ150" s="1831"/>
      <c r="BA150" s="1831"/>
      <c r="BB150" s="1831"/>
      <c r="BC150" s="1831"/>
      <c r="BD150" s="1831"/>
      <c r="BE150" s="1831"/>
      <c r="BF150" s="1831"/>
      <c r="BG150" s="1644"/>
    </row>
    <row customHeight="1" ht="11.25">
      <c r="A151" s="1175" t="s">
        <v>1036</v>
      </c>
      <c r="B151" s="1175"/>
      <c r="C151" s="1175"/>
      <c r="D151" s="1169"/>
      <c r="E151" s="1179"/>
      <c r="F151" s="1837"/>
      <c r="G151" s="1838"/>
      <c r="H151" s="2543" t="s">
        <v>1140</v>
      </c>
      <c r="I151" s="2544"/>
      <c r="J151" s="2727"/>
      <c r="K151" s="2545"/>
      <c r="L151" s="2135"/>
      <c r="M151" s="2136"/>
      <c r="N151" s="2536"/>
      <c r="O151" s="2537"/>
      <c r="P151" s="2539"/>
      <c r="Q151" s="2725"/>
      <c r="R151" s="2541"/>
      <c r="S151" s="2542"/>
      <c r="T151" s="2541"/>
      <c r="U151" s="2541"/>
      <c r="V151" s="2541"/>
      <c r="W151" s="2541"/>
      <c r="X151" s="2541"/>
      <c r="Y151" s="2541"/>
      <c r="Z151" s="1836"/>
      <c r="AA151" s="1802">
        <v>1</v>
      </c>
      <c r="AB151" s="1188" t="s">
        <v>1081</v>
      </c>
      <c r="AC151" s="1178">
        <v>57797.72</v>
      </c>
      <c r="AD151" s="1188" t="str">
        <f>AB151</f>
        <v>      Амортизационные отчисления с выделением результатов переоценки основных средств и нематериальных активов</v>
      </c>
      <c r="AE151" s="1178">
        <v>41319.78</v>
      </c>
      <c r="AF151" s="2534"/>
      <c r="AG151" s="2535"/>
      <c r="AH151" s="2535"/>
      <c r="AI151" s="2906"/>
      <c r="AJ151" s="2535"/>
      <c r="AK151" s="2535"/>
      <c r="AL151" s="1994"/>
      <c r="AM151" s="1831"/>
      <c r="AN151" s="1831"/>
      <c r="AO151" s="1831"/>
      <c r="AP151" s="1831"/>
      <c r="AQ151" s="1831"/>
      <c r="AR151" s="1831"/>
      <c r="AS151" s="1831"/>
      <c r="AT151" s="1831"/>
      <c r="AU151" s="1831"/>
      <c r="AV151" s="1831"/>
      <c r="AW151" s="1831"/>
      <c r="AX151" s="1831"/>
      <c r="AY151" s="1831"/>
      <c r="AZ151" s="1831"/>
      <c r="BA151" s="1831"/>
      <c r="BB151" s="1831"/>
      <c r="BC151" s="1831"/>
      <c r="BD151" s="1831"/>
      <c r="BE151" s="1831"/>
      <c r="BF151" s="1831"/>
      <c r="BG151" s="1644"/>
    </row>
    <row customHeight="1" ht="11.25">
      <c r="A152" s="1175" t="s">
        <v>1036</v>
      </c>
      <c r="B152" s="1175"/>
      <c r="C152" s="1175"/>
      <c r="D152" s="1169"/>
      <c r="E152" s="1179"/>
      <c r="F152" s="1838"/>
      <c r="G152" s="1838"/>
      <c r="H152" s="1838"/>
      <c r="I152" s="1838"/>
      <c r="J152" s="1838"/>
      <c r="K152" s="1838"/>
      <c r="L152" s="1838"/>
      <c r="M152" s="1838"/>
      <c r="N152" s="1838"/>
      <c r="O152" s="1838"/>
      <c r="P152" s="1838"/>
      <c r="Q152" s="1838"/>
      <c r="R152" s="1838"/>
      <c r="S152" s="1838"/>
      <c r="T152" s="1838"/>
      <c r="U152" s="1838"/>
      <c r="V152" s="1838"/>
      <c r="W152" s="1838"/>
      <c r="X152" s="1838"/>
      <c r="Y152" s="1838"/>
      <c r="Z152" s="692" t="s">
        <v>104</v>
      </c>
      <c r="AA152" s="1822" t="s">
        <v>103</v>
      </c>
      <c r="AB152" s="1188" t="s">
        <v>1091</v>
      </c>
      <c r="AC152" s="1178">
        <v>3.97</v>
      </c>
      <c r="AD152" s="1188" t="str">
        <f>AB152</f>
        <v>  Прочие собственные средства</v>
      </c>
      <c r="AE152" s="1178">
        <v>15456.7</v>
      </c>
      <c r="AF152" s="2095"/>
      <c r="AG152" s="1767"/>
      <c r="AH152" s="1767"/>
      <c r="AI152" s="2908"/>
      <c r="AJ152" s="1767"/>
      <c r="AK152" s="1993"/>
      <c r="AL152" s="1994"/>
      <c r="AM152" s="1831"/>
      <c r="AN152" s="1831"/>
      <c r="AO152" s="1831"/>
      <c r="AP152" s="1831"/>
      <c r="AQ152" s="1831"/>
      <c r="AR152" s="1831"/>
      <c r="AS152" s="1831"/>
      <c r="AT152" s="1831"/>
      <c r="AU152" s="1831"/>
      <c r="AV152" s="1831"/>
      <c r="AW152" s="1831"/>
      <c r="AX152" s="1831"/>
      <c r="AY152" s="1831"/>
      <c r="AZ152" s="1831"/>
      <c r="BA152" s="1831"/>
      <c r="BB152" s="1831"/>
      <c r="BC152" s="1831"/>
      <c r="BD152" s="1831"/>
      <c r="BE152" s="1831"/>
      <c r="BF152" s="1831"/>
      <c r="BG152" s="1644"/>
    </row>
    <row customHeight="1" ht="11.25">
      <c r="A153" s="1175" t="s">
        <v>1036</v>
      </c>
      <c r="B153" s="1175"/>
      <c r="C153" s="1175"/>
      <c r="D153" s="1169"/>
      <c r="E153" s="1179"/>
      <c r="F153" s="1837"/>
      <c r="G153" s="1838"/>
      <c r="H153" s="2543" t="s">
        <v>1140</v>
      </c>
      <c r="I153" s="2544"/>
      <c r="J153" s="2727"/>
      <c r="K153" s="2545"/>
      <c r="L153" s="2135"/>
      <c r="M153" s="2136"/>
      <c r="N153" s="2536"/>
      <c r="O153" s="2537"/>
      <c r="P153" s="2540"/>
      <c r="Q153" s="2725"/>
      <c r="R153" s="2541"/>
      <c r="S153" s="2542"/>
      <c r="T153" s="2541"/>
      <c r="U153" s="2541"/>
      <c r="V153" s="2541"/>
      <c r="W153" s="2541"/>
      <c r="X153" s="2541"/>
      <c r="Y153" s="2541"/>
      <c r="Z153" s="1184"/>
      <c r="AA153" s="1185"/>
      <c r="AB153" s="1250" t="s">
        <v>1082</v>
      </c>
      <c r="AC153" s="1189"/>
      <c r="AD153" s="1189"/>
      <c r="AE153" s="1191"/>
      <c r="AF153" s="2534"/>
      <c r="AG153" s="2535"/>
      <c r="AH153" s="2535"/>
      <c r="AI153" s="2906"/>
      <c r="AJ153" s="2535"/>
      <c r="AK153" s="2535"/>
      <c r="AL153" s="1994"/>
      <c r="AM153" s="1831"/>
      <c r="AN153" s="1831"/>
      <c r="AO153" s="1831"/>
      <c r="AP153" s="1831"/>
      <c r="AQ153" s="1831"/>
      <c r="AR153" s="1831"/>
      <c r="AS153" s="1831"/>
      <c r="AT153" s="1831"/>
      <c r="AU153" s="1831"/>
      <c r="AV153" s="1831"/>
      <c r="AW153" s="1831"/>
      <c r="AX153" s="1831"/>
      <c r="AY153" s="1831"/>
      <c r="AZ153" s="1831"/>
      <c r="BA153" s="1831"/>
      <c r="BB153" s="1831"/>
      <c r="BC153" s="1831"/>
      <c r="BD153" s="1831"/>
      <c r="BE153" s="1831"/>
      <c r="BF153" s="1831"/>
      <c r="BG153" s="1644"/>
    </row>
    <row customHeight="1" ht="11.25">
      <c r="A154" s="1175" t="s">
        <v>1036</v>
      </c>
      <c r="B154" s="1175"/>
      <c r="C154" s="1175"/>
      <c r="D154" s="1169"/>
      <c r="E154" s="1179"/>
      <c r="F154" s="1837"/>
      <c r="G154" s="1838"/>
      <c r="H154" s="2543" t="s">
        <v>1140</v>
      </c>
      <c r="I154" s="2544"/>
      <c r="J154" s="2727"/>
      <c r="K154" s="2545"/>
      <c r="L154" s="2135"/>
      <c r="M154" s="2136"/>
      <c r="N154" s="1184"/>
      <c r="O154" s="1185"/>
      <c r="P154" s="1177" t="s">
        <v>1083</v>
      </c>
      <c r="Q154" s="1185"/>
      <c r="R154" s="1185"/>
      <c r="S154" s="1185"/>
      <c r="T154" s="1185"/>
      <c r="U154" s="1185"/>
      <c r="V154" s="1185"/>
      <c r="W154" s="1185"/>
      <c r="X154" s="1185"/>
      <c r="Y154" s="1185"/>
      <c r="Z154" s="1185"/>
      <c r="AA154" s="1185"/>
      <c r="AB154" s="1185"/>
      <c r="AC154" s="1185"/>
      <c r="AD154" s="1185"/>
      <c r="AE154" s="1192"/>
      <c r="AF154" s="2534"/>
      <c r="AG154" s="2535"/>
      <c r="AH154" s="2535"/>
      <c r="AI154" s="2906"/>
      <c r="AJ154" s="2535"/>
      <c r="AK154" s="2535"/>
      <c r="AL154" s="1994"/>
      <c r="AM154" s="1831"/>
      <c r="AN154" s="1831"/>
      <c r="AO154" s="1831"/>
      <c r="AP154" s="1831"/>
      <c r="AQ154" s="1831"/>
      <c r="AR154" s="1831"/>
      <c r="AS154" s="1831"/>
      <c r="AT154" s="1831"/>
      <c r="AU154" s="1831"/>
      <c r="AV154" s="1831"/>
      <c r="AW154" s="1831"/>
      <c r="AX154" s="1831"/>
      <c r="AY154" s="1831"/>
      <c r="AZ154" s="1831"/>
      <c r="BA154" s="1831"/>
      <c r="BB154" s="1831"/>
      <c r="BC154" s="1831"/>
      <c r="BD154" s="1831"/>
      <c r="BE154" s="1831"/>
      <c r="BF154" s="1831"/>
      <c r="BG154" s="1644"/>
    </row>
    <row customHeight="1" ht="11.25">
      <c r="A155" s="1175" t="s">
        <v>1036</v>
      </c>
      <c r="B155" s="1175" t="s">
        <v>22</v>
      </c>
      <c r="C155" s="1175"/>
      <c r="D155" s="1169"/>
      <c r="E155" s="1179"/>
      <c r="F155" s="1837"/>
      <c r="G155" s="692" t="s">
        <v>104</v>
      </c>
      <c r="H155" s="2543" t="s">
        <v>1146</v>
      </c>
      <c r="I155" s="2544" t="s">
        <v>1147</v>
      </c>
      <c r="J155" s="2727" t="s">
        <v>22</v>
      </c>
      <c r="K155" s="2545" t="s">
        <v>1148</v>
      </c>
      <c r="L155" s="2135" t="s">
        <v>19</v>
      </c>
      <c r="M155" s="2136"/>
      <c r="N155" s="1992"/>
      <c r="O155" s="1186" t="s">
        <v>391</v>
      </c>
      <c r="P155" s="1187"/>
      <c r="Q155" s="1187"/>
      <c r="R155" s="1187"/>
      <c r="S155" s="1187"/>
      <c r="T155" s="1187"/>
      <c r="U155" s="1187"/>
      <c r="V155" s="1187"/>
      <c r="W155" s="1187"/>
      <c r="X155" s="1187"/>
      <c r="Y155" s="1187"/>
      <c r="Z155" s="1187"/>
      <c r="AA155" s="1187"/>
      <c r="AB155" s="1187"/>
      <c r="AC155" s="1187"/>
      <c r="AD155" s="1187"/>
      <c r="AE155" s="1187"/>
      <c r="AF155" s="2534">
        <v>1</v>
      </c>
      <c r="AG155" s="2535" t="s">
        <v>1072</v>
      </c>
      <c r="AH155" s="2535" t="s">
        <v>1085</v>
      </c>
      <c r="AI155" s="2534">
        <v>1</v>
      </c>
      <c r="AJ155" s="2535" t="s">
        <v>1095</v>
      </c>
      <c r="AK155" s="2535" t="s">
        <v>1085</v>
      </c>
      <c r="AL155" s="1994"/>
      <c r="AM155" s="1831"/>
      <c r="AN155" s="1831"/>
      <c r="AO155" s="1831"/>
      <c r="AP155" s="1831"/>
      <c r="AQ155" s="1831"/>
      <c r="AR155" s="1831"/>
      <c r="AS155" s="1831"/>
      <c r="AT155" s="1831"/>
      <c r="AU155" s="1831"/>
      <c r="AV155" s="1831"/>
      <c r="AW155" s="1831"/>
      <c r="AX155" s="1831"/>
      <c r="AY155" s="1831"/>
      <c r="AZ155" s="1831"/>
      <c r="BA155" s="1831"/>
      <c r="BB155" s="1831"/>
      <c r="BC155" s="1831"/>
      <c r="BD155" s="1831"/>
      <c r="BE155" s="1831"/>
      <c r="BF155" s="1831"/>
      <c r="BG155" s="1644"/>
    </row>
    <row customHeight="1" ht="11.25">
      <c r="A156" s="1175" t="s">
        <v>1036</v>
      </c>
      <c r="B156" s="1175"/>
      <c r="C156" s="1175"/>
      <c r="D156" s="1169"/>
      <c r="E156" s="1179"/>
      <c r="F156" s="1837"/>
      <c r="G156" s="1838"/>
      <c r="H156" s="2543" t="s">
        <v>1142</v>
      </c>
      <c r="I156" s="2544"/>
      <c r="J156" s="2727"/>
      <c r="K156" s="2545"/>
      <c r="L156" s="2135"/>
      <c r="M156" s="2136"/>
      <c r="N156" s="2536"/>
      <c r="O156" s="2537">
        <v>1</v>
      </c>
      <c r="P156" s="2538" t="s">
        <v>63</v>
      </c>
      <c r="Q156" s="2725" t="s">
        <v>1101</v>
      </c>
      <c r="R156" s="2726" t="s">
        <v>1076</v>
      </c>
      <c r="S156" s="2726" t="s">
        <v>106</v>
      </c>
      <c r="T156" s="2726" t="s">
        <v>106</v>
      </c>
      <c r="U156" s="2726" t="s">
        <v>107</v>
      </c>
      <c r="V156" s="2726" t="s">
        <v>1077</v>
      </c>
      <c r="W156" s="2726" t="s">
        <v>1078</v>
      </c>
      <c r="X156" s="2726" t="s">
        <v>1102</v>
      </c>
      <c r="Y156" s="2726" t="s">
        <v>1103</v>
      </c>
      <c r="Z156" s="1184"/>
      <c r="AA156" s="1185"/>
      <c r="AB156" s="1185"/>
      <c r="AC156" s="1189"/>
      <c r="AD156" s="1189"/>
      <c r="AE156" s="1190"/>
      <c r="AF156" s="2534"/>
      <c r="AG156" s="2535"/>
      <c r="AH156" s="2535"/>
      <c r="AI156" s="2534"/>
      <c r="AJ156" s="2535"/>
      <c r="AK156" s="2535"/>
      <c r="AL156" s="1994"/>
      <c r="AM156" s="1831"/>
      <c r="AN156" s="1831"/>
      <c r="AO156" s="1831"/>
      <c r="AP156" s="1831"/>
      <c r="AQ156" s="1831"/>
      <c r="AR156" s="1831"/>
      <c r="AS156" s="1831"/>
      <c r="AT156" s="1831"/>
      <c r="AU156" s="1831"/>
      <c r="AV156" s="1831"/>
      <c r="AW156" s="1831"/>
      <c r="AX156" s="1831"/>
      <c r="AY156" s="1831"/>
      <c r="AZ156" s="1831"/>
      <c r="BA156" s="1831"/>
      <c r="BB156" s="1831"/>
      <c r="BC156" s="1831"/>
      <c r="BD156" s="1831"/>
      <c r="BE156" s="1831"/>
      <c r="BF156" s="1831"/>
      <c r="BG156" s="1644"/>
    </row>
    <row customHeight="1" ht="11.25">
      <c r="A157" s="1175" t="s">
        <v>1036</v>
      </c>
      <c r="B157" s="1175"/>
      <c r="C157" s="1175"/>
      <c r="D157" s="1169"/>
      <c r="E157" s="1179"/>
      <c r="F157" s="1837"/>
      <c r="G157" s="1838"/>
      <c r="H157" s="2543" t="s">
        <v>1142</v>
      </c>
      <c r="I157" s="2544"/>
      <c r="J157" s="2727"/>
      <c r="K157" s="2545"/>
      <c r="L157" s="2135"/>
      <c r="M157" s="2136"/>
      <c r="N157" s="2536"/>
      <c r="O157" s="2537"/>
      <c r="P157" s="2539"/>
      <c r="Q157" s="2725"/>
      <c r="R157" s="2541"/>
      <c r="S157" s="2542"/>
      <c r="T157" s="2541"/>
      <c r="U157" s="2541"/>
      <c r="V157" s="2541"/>
      <c r="W157" s="2541"/>
      <c r="X157" s="2541"/>
      <c r="Y157" s="2541"/>
      <c r="Z157" s="1836"/>
      <c r="AA157" s="1802">
        <v>1</v>
      </c>
      <c r="AB157" s="1188" t="s">
        <v>1125</v>
      </c>
      <c r="AC157" s="1178">
        <v>35.52</v>
      </c>
      <c r="AD157" s="1188" t="str">
        <f>AB157</f>
        <v>  Прочие</v>
      </c>
      <c r="AE157" s="1178">
        <v>42.63</v>
      </c>
      <c r="AF157" s="2534"/>
      <c r="AG157" s="2535"/>
      <c r="AH157" s="2535"/>
      <c r="AI157" s="2534"/>
      <c r="AJ157" s="2535"/>
      <c r="AK157" s="2535"/>
      <c r="AL157" s="1994"/>
      <c r="AM157" s="1831"/>
      <c r="AN157" s="1831"/>
      <c r="AO157" s="1831"/>
      <c r="AP157" s="1831"/>
      <c r="AQ157" s="1831"/>
      <c r="AR157" s="1831"/>
      <c r="AS157" s="1831"/>
      <c r="AT157" s="1831"/>
      <c r="AU157" s="1831"/>
      <c r="AV157" s="1831"/>
      <c r="AW157" s="1831"/>
      <c r="AX157" s="1831"/>
      <c r="AY157" s="1831"/>
      <c r="AZ157" s="1831"/>
      <c r="BA157" s="1831"/>
      <c r="BB157" s="1831"/>
      <c r="BC157" s="1831"/>
      <c r="BD157" s="1831"/>
      <c r="BE157" s="1831"/>
      <c r="BF157" s="1831"/>
      <c r="BG157" s="1644"/>
    </row>
    <row customHeight="1" ht="11.25">
      <c r="A158" s="1175" t="s">
        <v>1036</v>
      </c>
      <c r="B158" s="1175"/>
      <c r="C158" s="1175"/>
      <c r="D158" s="1169"/>
      <c r="E158" s="1179"/>
      <c r="F158" s="1837"/>
      <c r="G158" s="1838"/>
      <c r="H158" s="2543" t="s">
        <v>1142</v>
      </c>
      <c r="I158" s="2544"/>
      <c r="J158" s="2727"/>
      <c r="K158" s="2545"/>
      <c r="L158" s="2135"/>
      <c r="M158" s="2136"/>
      <c r="N158" s="2536"/>
      <c r="O158" s="2537"/>
      <c r="P158" s="2540"/>
      <c r="Q158" s="2725"/>
      <c r="R158" s="2541"/>
      <c r="S158" s="2542"/>
      <c r="T158" s="2541"/>
      <c r="U158" s="2541"/>
      <c r="V158" s="2541"/>
      <c r="W158" s="2541"/>
      <c r="X158" s="2541"/>
      <c r="Y158" s="2541"/>
      <c r="Z158" s="1184"/>
      <c r="AA158" s="1185"/>
      <c r="AB158" s="1250" t="s">
        <v>1082</v>
      </c>
      <c r="AC158" s="1189"/>
      <c r="AD158" s="1189"/>
      <c r="AE158" s="1191"/>
      <c r="AF158" s="2534"/>
      <c r="AG158" s="2535"/>
      <c r="AH158" s="2535"/>
      <c r="AI158" s="2534"/>
      <c r="AJ158" s="2535"/>
      <c r="AK158" s="2535"/>
      <c r="AL158" s="1994"/>
      <c r="AM158" s="1831"/>
      <c r="AN158" s="1831"/>
      <c r="AO158" s="1831"/>
      <c r="AP158" s="1831"/>
      <c r="AQ158" s="1831"/>
      <c r="AR158" s="1831"/>
      <c r="AS158" s="1831"/>
      <c r="AT158" s="1831"/>
      <c r="AU158" s="1831"/>
      <c r="AV158" s="1831"/>
      <c r="AW158" s="1831"/>
      <c r="AX158" s="1831"/>
      <c r="AY158" s="1831"/>
      <c r="AZ158" s="1831"/>
      <c r="BA158" s="1831"/>
      <c r="BB158" s="1831"/>
      <c r="BC158" s="1831"/>
      <c r="BD158" s="1831"/>
      <c r="BE158" s="1831"/>
      <c r="BF158" s="1831"/>
      <c r="BG158" s="1644"/>
    </row>
    <row customHeight="1" ht="11.25">
      <c r="A159" s="1175" t="s">
        <v>1036</v>
      </c>
      <c r="B159" s="1175"/>
      <c r="C159" s="1175"/>
      <c r="D159" s="1169"/>
      <c r="E159" s="1179"/>
      <c r="F159" s="1837"/>
      <c r="G159" s="1838"/>
      <c r="H159" s="2543" t="s">
        <v>1142</v>
      </c>
      <c r="I159" s="2544"/>
      <c r="J159" s="2727"/>
      <c r="K159" s="2545"/>
      <c r="L159" s="2135"/>
      <c r="M159" s="2136"/>
      <c r="N159" s="1184"/>
      <c r="O159" s="1185"/>
      <c r="P159" s="1177" t="s">
        <v>1083</v>
      </c>
      <c r="Q159" s="1185"/>
      <c r="R159" s="1185"/>
      <c r="S159" s="1185"/>
      <c r="T159" s="1185"/>
      <c r="U159" s="1185"/>
      <c r="V159" s="1185"/>
      <c r="W159" s="1185"/>
      <c r="X159" s="1185"/>
      <c r="Y159" s="1185"/>
      <c r="Z159" s="1185"/>
      <c r="AA159" s="1185"/>
      <c r="AB159" s="1185"/>
      <c r="AC159" s="1185"/>
      <c r="AD159" s="1185"/>
      <c r="AE159" s="1192"/>
      <c r="AF159" s="2534"/>
      <c r="AG159" s="2535"/>
      <c r="AH159" s="2535"/>
      <c r="AI159" s="2534"/>
      <c r="AJ159" s="2535"/>
      <c r="AK159" s="2535"/>
      <c r="AL159" s="1994"/>
      <c r="AM159" s="1831"/>
      <c r="AN159" s="1831"/>
      <c r="AO159" s="1831"/>
      <c r="AP159" s="1831"/>
      <c r="AQ159" s="1831"/>
      <c r="AR159" s="1831"/>
      <c r="AS159" s="1831"/>
      <c r="AT159" s="1831"/>
      <c r="AU159" s="1831"/>
      <c r="AV159" s="1831"/>
      <c r="AW159" s="1831"/>
      <c r="AX159" s="1831"/>
      <c r="AY159" s="1831"/>
      <c r="AZ159" s="1831"/>
      <c r="BA159" s="1831"/>
      <c r="BB159" s="1831"/>
      <c r="BC159" s="1831"/>
      <c r="BD159" s="1831"/>
      <c r="BE159" s="1831"/>
      <c r="BF159" s="1831"/>
      <c r="BG159" s="1644"/>
    </row>
    <row customHeight="1" ht="11.25">
      <c r="A160" s="1175" t="s">
        <v>1036</v>
      </c>
      <c r="B160" s="1175" t="s">
        <v>22</v>
      </c>
      <c r="C160" s="1175"/>
      <c r="D160" s="1169"/>
      <c r="E160" s="1179"/>
      <c r="F160" s="1837"/>
      <c r="G160" s="692" t="s">
        <v>104</v>
      </c>
      <c r="H160" s="2543" t="s">
        <v>1149</v>
      </c>
      <c r="I160" s="2544" t="s">
        <v>1147</v>
      </c>
      <c r="J160" s="2727" t="s">
        <v>22</v>
      </c>
      <c r="K160" s="2545" t="s">
        <v>1150</v>
      </c>
      <c r="L160" s="2135" t="s">
        <v>19</v>
      </c>
      <c r="M160" s="2136"/>
      <c r="N160" s="1992"/>
      <c r="O160" s="1186" t="s">
        <v>391</v>
      </c>
      <c r="P160" s="1187"/>
      <c r="Q160" s="1187"/>
      <c r="R160" s="1187"/>
      <c r="S160" s="1187"/>
      <c r="T160" s="1187"/>
      <c r="U160" s="1187"/>
      <c r="V160" s="1187"/>
      <c r="W160" s="1187"/>
      <c r="X160" s="1187"/>
      <c r="Y160" s="1187"/>
      <c r="Z160" s="1187"/>
      <c r="AA160" s="1187"/>
      <c r="AB160" s="1187"/>
      <c r="AC160" s="1187"/>
      <c r="AD160" s="1187"/>
      <c r="AE160" s="1187"/>
      <c r="AF160" s="2534">
        <v>2</v>
      </c>
      <c r="AG160" s="2535" t="s">
        <v>1072</v>
      </c>
      <c r="AH160" s="2535" t="s">
        <v>1073</v>
      </c>
      <c r="AI160" s="2906">
        <v>1</v>
      </c>
      <c r="AJ160" s="2535" t="s">
        <v>1072</v>
      </c>
      <c r="AK160" s="2535" t="s">
        <v>1085</v>
      </c>
      <c r="AL160" s="1994"/>
      <c r="AM160" s="1831"/>
      <c r="AN160" s="1831"/>
      <c r="AO160" s="1831"/>
      <c r="AP160" s="1831"/>
      <c r="AQ160" s="1831"/>
      <c r="AR160" s="1831"/>
      <c r="AS160" s="1831"/>
      <c r="AT160" s="1831"/>
      <c r="AU160" s="1831"/>
      <c r="AV160" s="1831"/>
      <c r="AW160" s="1831"/>
      <c r="AX160" s="1831"/>
      <c r="AY160" s="1831"/>
      <c r="AZ160" s="1831"/>
      <c r="BA160" s="1831"/>
      <c r="BB160" s="1831"/>
      <c r="BC160" s="1831"/>
      <c r="BD160" s="1831"/>
      <c r="BE160" s="1831"/>
      <c r="BF160" s="1831"/>
      <c r="BG160" s="1644"/>
    </row>
    <row customHeight="1" ht="11.25">
      <c r="A161" s="1175" t="s">
        <v>1036</v>
      </c>
      <c r="B161" s="1175"/>
      <c r="C161" s="1175"/>
      <c r="D161" s="1169"/>
      <c r="E161" s="1179"/>
      <c r="F161" s="1837"/>
      <c r="G161" s="1838"/>
      <c r="H161" s="2543" t="s">
        <v>1146</v>
      </c>
      <c r="I161" s="2544"/>
      <c r="J161" s="2727"/>
      <c r="K161" s="2545"/>
      <c r="L161" s="2135"/>
      <c r="M161" s="2136"/>
      <c r="N161" s="2536"/>
      <c r="O161" s="2537">
        <v>1</v>
      </c>
      <c r="P161" s="2538" t="s">
        <v>63</v>
      </c>
      <c r="Q161" s="2725" t="s">
        <v>1101</v>
      </c>
      <c r="R161" s="2726" t="s">
        <v>1076</v>
      </c>
      <c r="S161" s="2726" t="s">
        <v>106</v>
      </c>
      <c r="T161" s="2726" t="s">
        <v>106</v>
      </c>
      <c r="U161" s="2726" t="s">
        <v>107</v>
      </c>
      <c r="V161" s="2726" t="s">
        <v>1077</v>
      </c>
      <c r="W161" s="2726" t="s">
        <v>1078</v>
      </c>
      <c r="X161" s="2726" t="s">
        <v>1102</v>
      </c>
      <c r="Y161" s="2726" t="s">
        <v>1103</v>
      </c>
      <c r="Z161" s="1184"/>
      <c r="AA161" s="1185"/>
      <c r="AB161" s="1185"/>
      <c r="AC161" s="1189"/>
      <c r="AD161" s="1189"/>
      <c r="AE161" s="1190"/>
      <c r="AF161" s="2534"/>
      <c r="AG161" s="2535"/>
      <c r="AH161" s="2535"/>
      <c r="AI161" s="2906"/>
      <c r="AJ161" s="2535"/>
      <c r="AK161" s="2535"/>
      <c r="AL161" s="1994"/>
      <c r="AM161" s="1831"/>
      <c r="AN161" s="1831"/>
      <c r="AO161" s="1831"/>
      <c r="AP161" s="1831"/>
      <c r="AQ161" s="1831"/>
      <c r="AR161" s="1831"/>
      <c r="AS161" s="1831"/>
      <c r="AT161" s="1831"/>
      <c r="AU161" s="1831"/>
      <c r="AV161" s="1831"/>
      <c r="AW161" s="1831"/>
      <c r="AX161" s="1831"/>
      <c r="AY161" s="1831"/>
      <c r="AZ161" s="1831"/>
      <c r="BA161" s="1831"/>
      <c r="BB161" s="1831"/>
      <c r="BC161" s="1831"/>
      <c r="BD161" s="1831"/>
      <c r="BE161" s="1831"/>
      <c r="BF161" s="1831"/>
      <c r="BG161" s="1644"/>
    </row>
    <row customHeight="1" ht="11.25">
      <c r="A162" s="1175" t="s">
        <v>1036</v>
      </c>
      <c r="B162" s="1175"/>
      <c r="C162" s="1175"/>
      <c r="D162" s="1169"/>
      <c r="E162" s="1179"/>
      <c r="F162" s="1837"/>
      <c r="G162" s="1838"/>
      <c r="H162" s="2543" t="s">
        <v>1146</v>
      </c>
      <c r="I162" s="2544"/>
      <c r="J162" s="2727"/>
      <c r="K162" s="2545"/>
      <c r="L162" s="2135"/>
      <c r="M162" s="2136"/>
      <c r="N162" s="2536"/>
      <c r="O162" s="2537"/>
      <c r="P162" s="2539"/>
      <c r="Q162" s="2725"/>
      <c r="R162" s="2541"/>
      <c r="S162" s="2542"/>
      <c r="T162" s="2541"/>
      <c r="U162" s="2541"/>
      <c r="V162" s="2541"/>
      <c r="W162" s="2541"/>
      <c r="X162" s="2541"/>
      <c r="Y162" s="2541"/>
      <c r="Z162" s="1836"/>
      <c r="AA162" s="1802">
        <v>1</v>
      </c>
      <c r="AB162" s="1188" t="s">
        <v>1081</v>
      </c>
      <c r="AC162" s="1178">
        <v>2334.2</v>
      </c>
      <c r="AD162" s="1188" t="str">
        <f>AB162</f>
        <v>      Амортизационные отчисления с выделением результатов переоценки основных средств и нематериальных активов</v>
      </c>
      <c r="AE162" s="1178">
        <v>11822.64</v>
      </c>
      <c r="AF162" s="2534"/>
      <c r="AG162" s="2535"/>
      <c r="AH162" s="2535"/>
      <c r="AI162" s="2906"/>
      <c r="AJ162" s="2535"/>
      <c r="AK162" s="2535"/>
      <c r="AL162" s="1994"/>
      <c r="AM162" s="1831"/>
      <c r="AN162" s="1831"/>
      <c r="AO162" s="1831"/>
      <c r="AP162" s="1831"/>
      <c r="AQ162" s="1831"/>
      <c r="AR162" s="1831"/>
      <c r="AS162" s="1831"/>
      <c r="AT162" s="1831"/>
      <c r="AU162" s="1831"/>
      <c r="AV162" s="1831"/>
      <c r="AW162" s="1831"/>
      <c r="AX162" s="1831"/>
      <c r="AY162" s="1831"/>
      <c r="AZ162" s="1831"/>
      <c r="BA162" s="1831"/>
      <c r="BB162" s="1831"/>
      <c r="BC162" s="1831"/>
      <c r="BD162" s="1831"/>
      <c r="BE162" s="1831"/>
      <c r="BF162" s="1831"/>
      <c r="BG162" s="1644"/>
    </row>
    <row customHeight="1" ht="11.25">
      <c r="A163" s="1175" t="s">
        <v>1036</v>
      </c>
      <c r="B163" s="1175"/>
      <c r="C163" s="1175"/>
      <c r="D163" s="1169"/>
      <c r="E163" s="1179"/>
      <c r="F163" s="1838"/>
      <c r="G163" s="1838"/>
      <c r="H163" s="1838"/>
      <c r="I163" s="1838"/>
      <c r="J163" s="1838"/>
      <c r="K163" s="1838"/>
      <c r="L163" s="1838"/>
      <c r="M163" s="1838"/>
      <c r="N163" s="1838"/>
      <c r="O163" s="1838"/>
      <c r="P163" s="1838"/>
      <c r="Q163" s="1838"/>
      <c r="R163" s="1838"/>
      <c r="S163" s="1838"/>
      <c r="T163" s="1838"/>
      <c r="U163" s="1838"/>
      <c r="V163" s="1838"/>
      <c r="W163" s="1838"/>
      <c r="X163" s="1838"/>
      <c r="Y163" s="1838"/>
      <c r="Z163" s="692" t="s">
        <v>104</v>
      </c>
      <c r="AA163" s="1822" t="s">
        <v>103</v>
      </c>
      <c r="AB163" s="1188" t="s">
        <v>1125</v>
      </c>
      <c r="AC163" s="1178">
        <v>46.09</v>
      </c>
      <c r="AD163" s="1188" t="str">
        <f>AB163</f>
        <v>  Прочие</v>
      </c>
      <c r="AE163" s="1178">
        <v>0</v>
      </c>
      <c r="AF163" s="2095"/>
      <c r="AG163" s="1767"/>
      <c r="AH163" s="1767"/>
      <c r="AI163" s="2908"/>
      <c r="AJ163" s="1767"/>
      <c r="AK163" s="1993"/>
      <c r="AL163" s="1994"/>
      <c r="AM163" s="1831"/>
      <c r="AN163" s="1831"/>
      <c r="AO163" s="1831"/>
      <c r="AP163" s="1831"/>
      <c r="AQ163" s="1831"/>
      <c r="AR163" s="1831"/>
      <c r="AS163" s="1831"/>
      <c r="AT163" s="1831"/>
      <c r="AU163" s="1831"/>
      <c r="AV163" s="1831"/>
      <c r="AW163" s="1831"/>
      <c r="AX163" s="1831"/>
      <c r="AY163" s="1831"/>
      <c r="AZ163" s="1831"/>
      <c r="BA163" s="1831"/>
      <c r="BB163" s="1831"/>
      <c r="BC163" s="1831"/>
      <c r="BD163" s="1831"/>
      <c r="BE163" s="1831"/>
      <c r="BF163" s="1831"/>
      <c r="BG163" s="1644"/>
    </row>
    <row customHeight="1" ht="11.25">
      <c r="A164" s="1175" t="s">
        <v>1036</v>
      </c>
      <c r="B164" s="1175"/>
      <c r="C164" s="1175"/>
      <c r="D164" s="1169"/>
      <c r="E164" s="1179"/>
      <c r="F164" s="1837"/>
      <c r="G164" s="1838"/>
      <c r="H164" s="2543" t="s">
        <v>1146</v>
      </c>
      <c r="I164" s="2544"/>
      <c r="J164" s="2727"/>
      <c r="K164" s="2545"/>
      <c r="L164" s="2135"/>
      <c r="M164" s="2136"/>
      <c r="N164" s="2536"/>
      <c r="O164" s="2537"/>
      <c r="P164" s="2540"/>
      <c r="Q164" s="2725"/>
      <c r="R164" s="2541"/>
      <c r="S164" s="2542"/>
      <c r="T164" s="2541"/>
      <c r="U164" s="2541"/>
      <c r="V164" s="2541"/>
      <c r="W164" s="2541"/>
      <c r="X164" s="2541"/>
      <c r="Y164" s="2541"/>
      <c r="Z164" s="1184"/>
      <c r="AA164" s="1185"/>
      <c r="AB164" s="1250" t="s">
        <v>1082</v>
      </c>
      <c r="AC164" s="1189"/>
      <c r="AD164" s="1189"/>
      <c r="AE164" s="1191"/>
      <c r="AF164" s="2534"/>
      <c r="AG164" s="2535"/>
      <c r="AH164" s="2535"/>
      <c r="AI164" s="2906"/>
      <c r="AJ164" s="2535"/>
      <c r="AK164" s="2535"/>
      <c r="AL164" s="1994"/>
      <c r="AM164" s="1831"/>
      <c r="AN164" s="1831"/>
      <c r="AO164" s="1831"/>
      <c r="AP164" s="1831"/>
      <c r="AQ164" s="1831"/>
      <c r="AR164" s="1831"/>
      <c r="AS164" s="1831"/>
      <c r="AT164" s="1831"/>
      <c r="AU164" s="1831"/>
      <c r="AV164" s="1831"/>
      <c r="AW164" s="1831"/>
      <c r="AX164" s="1831"/>
      <c r="AY164" s="1831"/>
      <c r="AZ164" s="1831"/>
      <c r="BA164" s="1831"/>
      <c r="BB164" s="1831"/>
      <c r="BC164" s="1831"/>
      <c r="BD164" s="1831"/>
      <c r="BE164" s="1831"/>
      <c r="BF164" s="1831"/>
      <c r="BG164" s="1644"/>
    </row>
    <row customHeight="1" ht="11.25">
      <c r="A165" s="1175" t="s">
        <v>1036</v>
      </c>
      <c r="B165" s="1175"/>
      <c r="C165" s="1175"/>
      <c r="D165" s="1169"/>
      <c r="E165" s="1179"/>
      <c r="F165" s="1837"/>
      <c r="G165" s="1838"/>
      <c r="H165" s="2543" t="s">
        <v>1146</v>
      </c>
      <c r="I165" s="2544"/>
      <c r="J165" s="2727"/>
      <c r="K165" s="2545"/>
      <c r="L165" s="2135"/>
      <c r="M165" s="2136"/>
      <c r="N165" s="1184"/>
      <c r="O165" s="1185"/>
      <c r="P165" s="1177" t="s">
        <v>1083</v>
      </c>
      <c r="Q165" s="1185"/>
      <c r="R165" s="1185"/>
      <c r="S165" s="1185"/>
      <c r="T165" s="1185"/>
      <c r="U165" s="1185"/>
      <c r="V165" s="1185"/>
      <c r="W165" s="1185"/>
      <c r="X165" s="1185"/>
      <c r="Y165" s="1185"/>
      <c r="Z165" s="1185"/>
      <c r="AA165" s="1185"/>
      <c r="AB165" s="1185"/>
      <c r="AC165" s="1185"/>
      <c r="AD165" s="1185"/>
      <c r="AE165" s="1192"/>
      <c r="AF165" s="2534"/>
      <c r="AG165" s="2535"/>
      <c r="AH165" s="2535"/>
      <c r="AI165" s="2906"/>
      <c r="AJ165" s="2535"/>
      <c r="AK165" s="2535"/>
      <c r="AL165" s="1994"/>
      <c r="AM165" s="1831"/>
      <c r="AN165" s="1831"/>
      <c r="AO165" s="1831"/>
      <c r="AP165" s="1831"/>
      <c r="AQ165" s="1831"/>
      <c r="AR165" s="1831"/>
      <c r="AS165" s="1831"/>
      <c r="AT165" s="1831"/>
      <c r="AU165" s="1831"/>
      <c r="AV165" s="1831"/>
      <c r="AW165" s="1831"/>
      <c r="AX165" s="1831"/>
      <c r="AY165" s="1831"/>
      <c r="AZ165" s="1831"/>
      <c r="BA165" s="1831"/>
      <c r="BB165" s="1831"/>
      <c r="BC165" s="1831"/>
      <c r="BD165" s="1831"/>
      <c r="BE165" s="1831"/>
      <c r="BF165" s="1831"/>
      <c r="BG165" s="1644"/>
    </row>
    <row customHeight="1" ht="11.25">
      <c r="A166" s="1175" t="s">
        <v>1036</v>
      </c>
      <c r="B166" s="1175" t="s">
        <v>22</v>
      </c>
      <c r="C166" s="1175"/>
      <c r="D166" s="1169"/>
      <c r="E166" s="1179"/>
      <c r="F166" s="1837"/>
      <c r="G166" s="692" t="s">
        <v>104</v>
      </c>
      <c r="H166" s="2543" t="s">
        <v>1103</v>
      </c>
      <c r="I166" s="2544" t="s">
        <v>1147</v>
      </c>
      <c r="J166" s="2727" t="s">
        <v>22</v>
      </c>
      <c r="K166" s="2545" t="s">
        <v>1151</v>
      </c>
      <c r="L166" s="2135" t="s">
        <v>19</v>
      </c>
      <c r="M166" s="2136"/>
      <c r="N166" s="1992"/>
      <c r="O166" s="1186" t="s">
        <v>391</v>
      </c>
      <c r="P166" s="1187"/>
      <c r="Q166" s="1187"/>
      <c r="R166" s="1187"/>
      <c r="S166" s="1187"/>
      <c r="T166" s="1187"/>
      <c r="U166" s="1187"/>
      <c r="V166" s="1187"/>
      <c r="W166" s="1187"/>
      <c r="X166" s="1187"/>
      <c r="Y166" s="1187"/>
      <c r="Z166" s="1187"/>
      <c r="AA166" s="1187"/>
      <c r="AB166" s="1187"/>
      <c r="AC166" s="1187"/>
      <c r="AD166" s="1187"/>
      <c r="AE166" s="1187"/>
      <c r="AF166" s="2534">
        <v>2</v>
      </c>
      <c r="AG166" s="2535" t="s">
        <v>1072</v>
      </c>
      <c r="AH166" s="2535" t="s">
        <v>1073</v>
      </c>
      <c r="AI166" s="2724"/>
      <c r="AJ166" s="2535" t="s">
        <v>1074</v>
      </c>
      <c r="AK166" s="2535" t="s">
        <v>1074</v>
      </c>
      <c r="AL166" s="1994"/>
      <c r="AM166" s="1831"/>
      <c r="AN166" s="1831"/>
      <c r="AO166" s="1831"/>
      <c r="AP166" s="1831"/>
      <c r="AQ166" s="1831"/>
      <c r="AR166" s="1831"/>
      <c r="AS166" s="1831"/>
      <c r="AT166" s="1831"/>
      <c r="AU166" s="1831"/>
      <c r="AV166" s="1831"/>
      <c r="AW166" s="1831"/>
      <c r="AX166" s="1831"/>
      <c r="AY166" s="1831"/>
      <c r="AZ166" s="1831"/>
      <c r="BA166" s="1831"/>
      <c r="BB166" s="1831"/>
      <c r="BC166" s="1831"/>
      <c r="BD166" s="1831"/>
      <c r="BE166" s="1831"/>
      <c r="BF166" s="1831"/>
      <c r="BG166" s="1644"/>
    </row>
    <row customHeight="1" ht="11.25">
      <c r="A167" s="1175" t="s">
        <v>1036</v>
      </c>
      <c r="B167" s="1175"/>
      <c r="C167" s="1175"/>
      <c r="D167" s="1169"/>
      <c r="E167" s="1179"/>
      <c r="F167" s="1837"/>
      <c r="G167" s="1838"/>
      <c r="H167" s="2543" t="s">
        <v>1149</v>
      </c>
      <c r="I167" s="2544"/>
      <c r="J167" s="2727"/>
      <c r="K167" s="2545"/>
      <c r="L167" s="2135"/>
      <c r="M167" s="2136"/>
      <c r="N167" s="2536"/>
      <c r="O167" s="2537">
        <v>1</v>
      </c>
      <c r="P167" s="2538" t="s">
        <v>63</v>
      </c>
      <c r="Q167" s="2725" t="s">
        <v>1112</v>
      </c>
      <c r="R167" s="2726" t="s">
        <v>1076</v>
      </c>
      <c r="S167" s="2726" t="s">
        <v>106</v>
      </c>
      <c r="T167" s="2726" t="s">
        <v>106</v>
      </c>
      <c r="U167" s="2726" t="s">
        <v>107</v>
      </c>
      <c r="V167" s="2726" t="s">
        <v>1077</v>
      </c>
      <c r="W167" s="2726" t="s">
        <v>1078</v>
      </c>
      <c r="X167" s="2726" t="s">
        <v>1113</v>
      </c>
      <c r="Y167" s="2726" t="s">
        <v>1114</v>
      </c>
      <c r="Z167" s="1184"/>
      <c r="AA167" s="1185"/>
      <c r="AB167" s="1185"/>
      <c r="AC167" s="1189"/>
      <c r="AD167" s="1189"/>
      <c r="AE167" s="1190"/>
      <c r="AF167" s="2534"/>
      <c r="AG167" s="2535"/>
      <c r="AH167" s="2535"/>
      <c r="AI167" s="2724"/>
      <c r="AJ167" s="2535"/>
      <c r="AK167" s="2535"/>
      <c r="AL167" s="1994"/>
      <c r="AM167" s="1831"/>
      <c r="AN167" s="1831"/>
      <c r="AO167" s="1831"/>
      <c r="AP167" s="1831"/>
      <c r="AQ167" s="1831"/>
      <c r="AR167" s="1831"/>
      <c r="AS167" s="1831"/>
      <c r="AT167" s="1831"/>
      <c r="AU167" s="1831"/>
      <c r="AV167" s="1831"/>
      <c r="AW167" s="1831"/>
      <c r="AX167" s="1831"/>
      <c r="AY167" s="1831"/>
      <c r="AZ167" s="1831"/>
      <c r="BA167" s="1831"/>
      <c r="BB167" s="1831"/>
      <c r="BC167" s="1831"/>
      <c r="BD167" s="1831"/>
      <c r="BE167" s="1831"/>
      <c r="BF167" s="1831"/>
      <c r="BG167" s="1644"/>
    </row>
    <row customHeight="1" ht="11.25">
      <c r="A168" s="1175" t="s">
        <v>1036</v>
      </c>
      <c r="B168" s="1175"/>
      <c r="C168" s="1175"/>
      <c r="D168" s="1169"/>
      <c r="E168" s="1179"/>
      <c r="F168" s="1837"/>
      <c r="G168" s="1838"/>
      <c r="H168" s="2543" t="s">
        <v>1149</v>
      </c>
      <c r="I168" s="2544"/>
      <c r="J168" s="2727"/>
      <c r="K168" s="2545"/>
      <c r="L168" s="2135"/>
      <c r="M168" s="2136"/>
      <c r="N168" s="2536"/>
      <c r="O168" s="2537"/>
      <c r="P168" s="2539"/>
      <c r="Q168" s="2725"/>
      <c r="R168" s="2541"/>
      <c r="S168" s="2542"/>
      <c r="T168" s="2541"/>
      <c r="U168" s="2541"/>
      <c r="V168" s="2541"/>
      <c r="W168" s="2541"/>
      <c r="X168" s="2541"/>
      <c r="Y168" s="2541"/>
      <c r="Z168" s="1836"/>
      <c r="AA168" s="1802">
        <v>1</v>
      </c>
      <c r="AB168" s="1188" t="s">
        <v>1081</v>
      </c>
      <c r="AC168" s="1178">
        <v>11675.47</v>
      </c>
      <c r="AD168" s="1188" t="str">
        <f>AB168</f>
        <v>      Амортизационные отчисления с выделением результатов переоценки основных средств и нематериальных активов</v>
      </c>
      <c r="AE168" s="1178">
        <v>8396.92</v>
      </c>
      <c r="AF168" s="2534"/>
      <c r="AG168" s="2535"/>
      <c r="AH168" s="2535"/>
      <c r="AI168" s="2724"/>
      <c r="AJ168" s="2535"/>
      <c r="AK168" s="2535"/>
      <c r="AL168" s="1994"/>
      <c r="AM168" s="1831"/>
      <c r="AN168" s="1831"/>
      <c r="AO168" s="1831"/>
      <c r="AP168" s="1831"/>
      <c r="AQ168" s="1831"/>
      <c r="AR168" s="1831"/>
      <c r="AS168" s="1831"/>
      <c r="AT168" s="1831"/>
      <c r="AU168" s="1831"/>
      <c r="AV168" s="1831"/>
      <c r="AW168" s="1831"/>
      <c r="AX168" s="1831"/>
      <c r="AY168" s="1831"/>
      <c r="AZ168" s="1831"/>
      <c r="BA168" s="1831"/>
      <c r="BB168" s="1831"/>
      <c r="BC168" s="1831"/>
      <c r="BD168" s="1831"/>
      <c r="BE168" s="1831"/>
      <c r="BF168" s="1831"/>
      <c r="BG168" s="1644"/>
    </row>
    <row customHeight="1" ht="11.25">
      <c r="A169" s="1175" t="s">
        <v>1036</v>
      </c>
      <c r="B169" s="1175"/>
      <c r="C169" s="1175"/>
      <c r="D169" s="1169"/>
      <c r="E169" s="1179"/>
      <c r="F169" s="1837"/>
      <c r="G169" s="1838"/>
      <c r="H169" s="2543" t="s">
        <v>1149</v>
      </c>
      <c r="I169" s="2544"/>
      <c r="J169" s="2727"/>
      <c r="K169" s="2545"/>
      <c r="L169" s="2135"/>
      <c r="M169" s="2136"/>
      <c r="N169" s="2536"/>
      <c r="O169" s="2537"/>
      <c r="P169" s="2540"/>
      <c r="Q169" s="2725"/>
      <c r="R169" s="2541"/>
      <c r="S169" s="2542"/>
      <c r="T169" s="2541"/>
      <c r="U169" s="2541"/>
      <c r="V169" s="2541"/>
      <c r="W169" s="2541"/>
      <c r="X169" s="2541"/>
      <c r="Y169" s="2541"/>
      <c r="Z169" s="1184"/>
      <c r="AA169" s="1185"/>
      <c r="AB169" s="1250" t="s">
        <v>1082</v>
      </c>
      <c r="AC169" s="1189"/>
      <c r="AD169" s="1189"/>
      <c r="AE169" s="1191"/>
      <c r="AF169" s="2534"/>
      <c r="AG169" s="2535"/>
      <c r="AH169" s="2535"/>
      <c r="AI169" s="2724"/>
      <c r="AJ169" s="2535"/>
      <c r="AK169" s="2535"/>
      <c r="AL169" s="1994"/>
      <c r="AM169" s="1831"/>
      <c r="AN169" s="1831"/>
      <c r="AO169" s="1831"/>
      <c r="AP169" s="1831"/>
      <c r="AQ169" s="1831"/>
      <c r="AR169" s="1831"/>
      <c r="AS169" s="1831"/>
      <c r="AT169" s="1831"/>
      <c r="AU169" s="1831"/>
      <c r="AV169" s="1831"/>
      <c r="AW169" s="1831"/>
      <c r="AX169" s="1831"/>
      <c r="AY169" s="1831"/>
      <c r="AZ169" s="1831"/>
      <c r="BA169" s="1831"/>
      <c r="BB169" s="1831"/>
      <c r="BC169" s="1831"/>
      <c r="BD169" s="1831"/>
      <c r="BE169" s="1831"/>
      <c r="BF169" s="1831"/>
      <c r="BG169" s="1644"/>
    </row>
    <row customHeight="1" ht="11.25">
      <c r="A170" s="1175" t="s">
        <v>1036</v>
      </c>
      <c r="B170" s="1175"/>
      <c r="C170" s="1175"/>
      <c r="D170" s="1169"/>
      <c r="E170" s="1179"/>
      <c r="F170" s="1837"/>
      <c r="G170" s="1838"/>
      <c r="H170" s="2543" t="s">
        <v>1149</v>
      </c>
      <c r="I170" s="2544"/>
      <c r="J170" s="2727"/>
      <c r="K170" s="2545"/>
      <c r="L170" s="2135"/>
      <c r="M170" s="2136"/>
      <c r="N170" s="1184"/>
      <c r="O170" s="1185"/>
      <c r="P170" s="1177" t="s">
        <v>1083</v>
      </c>
      <c r="Q170" s="1185"/>
      <c r="R170" s="1185"/>
      <c r="S170" s="1185"/>
      <c r="T170" s="1185"/>
      <c r="U170" s="1185"/>
      <c r="V170" s="1185"/>
      <c r="W170" s="1185"/>
      <c r="X170" s="1185"/>
      <c r="Y170" s="1185"/>
      <c r="Z170" s="1185"/>
      <c r="AA170" s="1185"/>
      <c r="AB170" s="1185"/>
      <c r="AC170" s="1185"/>
      <c r="AD170" s="1185"/>
      <c r="AE170" s="1192"/>
      <c r="AF170" s="2534"/>
      <c r="AG170" s="2535"/>
      <c r="AH170" s="2535"/>
      <c r="AI170" s="2724"/>
      <c r="AJ170" s="2535"/>
      <c r="AK170" s="2535"/>
      <c r="AL170" s="1994"/>
      <c r="AM170" s="1831"/>
      <c r="AN170" s="1831"/>
      <c r="AO170" s="1831"/>
      <c r="AP170" s="1831"/>
      <c r="AQ170" s="1831"/>
      <c r="AR170" s="1831"/>
      <c r="AS170" s="1831"/>
      <c r="AT170" s="1831"/>
      <c r="AU170" s="1831"/>
      <c r="AV170" s="1831"/>
      <c r="AW170" s="1831"/>
      <c r="AX170" s="1831"/>
      <c r="AY170" s="1831"/>
      <c r="AZ170" s="1831"/>
      <c r="BA170" s="1831"/>
      <c r="BB170" s="1831"/>
      <c r="BC170" s="1831"/>
      <c r="BD170" s="1831"/>
      <c r="BE170" s="1831"/>
      <c r="BF170" s="1831"/>
      <c r="BG170" s="1644"/>
    </row>
    <row customHeight="1" ht="11.25">
      <c r="A171" s="1175" t="s">
        <v>1036</v>
      </c>
      <c r="B171" s="1175" t="s">
        <v>22</v>
      </c>
      <c r="C171" s="1175"/>
      <c r="D171" s="1169"/>
      <c r="E171" s="1179"/>
      <c r="F171" s="1837"/>
      <c r="G171" s="692" t="s">
        <v>104</v>
      </c>
      <c r="H171" s="2543" t="s">
        <v>1152</v>
      </c>
      <c r="I171" s="2544" t="s">
        <v>1147</v>
      </c>
      <c r="J171" s="2727" t="s">
        <v>22</v>
      </c>
      <c r="K171" s="2545" t="s">
        <v>1153</v>
      </c>
      <c r="L171" s="2135" t="s">
        <v>19</v>
      </c>
      <c r="M171" s="2136"/>
      <c r="N171" s="1992"/>
      <c r="O171" s="1186" t="s">
        <v>391</v>
      </c>
      <c r="P171" s="1187"/>
      <c r="Q171" s="1187"/>
      <c r="R171" s="1187"/>
      <c r="S171" s="1187"/>
      <c r="T171" s="1187"/>
      <c r="U171" s="1187"/>
      <c r="V171" s="1187"/>
      <c r="W171" s="1187"/>
      <c r="X171" s="1187"/>
      <c r="Y171" s="1187"/>
      <c r="Z171" s="1187"/>
      <c r="AA171" s="1187"/>
      <c r="AB171" s="1187"/>
      <c r="AC171" s="1187"/>
      <c r="AD171" s="1187"/>
      <c r="AE171" s="1187"/>
      <c r="AF171" s="2534">
        <v>2</v>
      </c>
      <c r="AG171" s="2535" t="s">
        <v>1072</v>
      </c>
      <c r="AH171" s="2535" t="s">
        <v>1073</v>
      </c>
      <c r="AI171" s="2724"/>
      <c r="AJ171" s="2535" t="s">
        <v>1074</v>
      </c>
      <c r="AK171" s="2535" t="s">
        <v>1074</v>
      </c>
      <c r="AL171" s="1994"/>
      <c r="AM171" s="1831"/>
      <c r="AN171" s="1831"/>
      <c r="AO171" s="1831"/>
      <c r="AP171" s="1831"/>
      <c r="AQ171" s="1831"/>
      <c r="AR171" s="1831"/>
      <c r="AS171" s="1831"/>
      <c r="AT171" s="1831"/>
      <c r="AU171" s="1831"/>
      <c r="AV171" s="1831"/>
      <c r="AW171" s="1831"/>
      <c r="AX171" s="1831"/>
      <c r="AY171" s="1831"/>
      <c r="AZ171" s="1831"/>
      <c r="BA171" s="1831"/>
      <c r="BB171" s="1831"/>
      <c r="BC171" s="1831"/>
      <c r="BD171" s="1831"/>
      <c r="BE171" s="1831"/>
      <c r="BF171" s="1831"/>
      <c r="BG171" s="1644"/>
    </row>
    <row customHeight="1" ht="11.25">
      <c r="A172" s="1175" t="s">
        <v>1036</v>
      </c>
      <c r="B172" s="1175"/>
      <c r="C172" s="1175"/>
      <c r="D172" s="1169"/>
      <c r="E172" s="1179"/>
      <c r="F172" s="1837"/>
      <c r="G172" s="1838"/>
      <c r="H172" s="2543" t="s">
        <v>1103</v>
      </c>
      <c r="I172" s="2544"/>
      <c r="J172" s="2727"/>
      <c r="K172" s="2545"/>
      <c r="L172" s="2135"/>
      <c r="M172" s="2136"/>
      <c r="N172" s="2536"/>
      <c r="O172" s="2537">
        <v>1</v>
      </c>
      <c r="P172" s="2538" t="s">
        <v>63</v>
      </c>
      <c r="Q172" s="2725" t="s">
        <v>1112</v>
      </c>
      <c r="R172" s="2726" t="s">
        <v>1076</v>
      </c>
      <c r="S172" s="2726" t="s">
        <v>106</v>
      </c>
      <c r="T172" s="2726" t="s">
        <v>106</v>
      </c>
      <c r="U172" s="2726" t="s">
        <v>107</v>
      </c>
      <c r="V172" s="2726" t="s">
        <v>1077</v>
      </c>
      <c r="W172" s="2726" t="s">
        <v>1078</v>
      </c>
      <c r="X172" s="2726" t="s">
        <v>1113</v>
      </c>
      <c r="Y172" s="2726" t="s">
        <v>1114</v>
      </c>
      <c r="Z172" s="1184"/>
      <c r="AA172" s="1185"/>
      <c r="AB172" s="1185"/>
      <c r="AC172" s="1189"/>
      <c r="AD172" s="1189"/>
      <c r="AE172" s="1190"/>
      <c r="AF172" s="2534"/>
      <c r="AG172" s="2535"/>
      <c r="AH172" s="2535"/>
      <c r="AI172" s="2724"/>
      <c r="AJ172" s="2535"/>
      <c r="AK172" s="2535"/>
      <c r="AL172" s="1994"/>
      <c r="AM172" s="1831"/>
      <c r="AN172" s="1831"/>
      <c r="AO172" s="1831"/>
      <c r="AP172" s="1831"/>
      <c r="AQ172" s="1831"/>
      <c r="AR172" s="1831"/>
      <c r="AS172" s="1831"/>
      <c r="AT172" s="1831"/>
      <c r="AU172" s="1831"/>
      <c r="AV172" s="1831"/>
      <c r="AW172" s="1831"/>
      <c r="AX172" s="1831"/>
      <c r="AY172" s="1831"/>
      <c r="AZ172" s="1831"/>
      <c r="BA172" s="1831"/>
      <c r="BB172" s="1831"/>
      <c r="BC172" s="1831"/>
      <c r="BD172" s="1831"/>
      <c r="BE172" s="1831"/>
      <c r="BF172" s="1831"/>
      <c r="BG172" s="1644"/>
    </row>
    <row customHeight="1" ht="11.25">
      <c r="A173" s="1175" t="s">
        <v>1036</v>
      </c>
      <c r="B173" s="1175"/>
      <c r="C173" s="1175"/>
      <c r="D173" s="1169"/>
      <c r="E173" s="1179"/>
      <c r="F173" s="1837"/>
      <c r="G173" s="1838"/>
      <c r="H173" s="2543" t="s">
        <v>1103</v>
      </c>
      <c r="I173" s="2544"/>
      <c r="J173" s="2727"/>
      <c r="K173" s="2545"/>
      <c r="L173" s="2135"/>
      <c r="M173" s="2136"/>
      <c r="N173" s="2536"/>
      <c r="O173" s="2537"/>
      <c r="P173" s="2539"/>
      <c r="Q173" s="2725"/>
      <c r="R173" s="2541"/>
      <c r="S173" s="2542"/>
      <c r="T173" s="2541"/>
      <c r="U173" s="2541"/>
      <c r="V173" s="2541"/>
      <c r="W173" s="2541"/>
      <c r="X173" s="2541"/>
      <c r="Y173" s="2541"/>
      <c r="Z173" s="1836"/>
      <c r="AA173" s="1802">
        <v>1</v>
      </c>
      <c r="AB173" s="1188" t="s">
        <v>1081</v>
      </c>
      <c r="AC173" s="1178">
        <v>5831.83</v>
      </c>
      <c r="AD173" s="1188" t="str">
        <f>AB173</f>
        <v>      Амортизационные отчисления с выделением результатов переоценки основных средств и нематериальных активов</v>
      </c>
      <c r="AE173" s="1178">
        <v>434.83</v>
      </c>
      <c r="AF173" s="2534"/>
      <c r="AG173" s="2535"/>
      <c r="AH173" s="2535"/>
      <c r="AI173" s="2724"/>
      <c r="AJ173" s="2535"/>
      <c r="AK173" s="2535"/>
      <c r="AL173" s="1994"/>
      <c r="AM173" s="1831"/>
      <c r="AN173" s="1831"/>
      <c r="AO173" s="1831"/>
      <c r="AP173" s="1831"/>
      <c r="AQ173" s="1831"/>
      <c r="AR173" s="1831"/>
      <c r="AS173" s="1831"/>
      <c r="AT173" s="1831"/>
      <c r="AU173" s="1831"/>
      <c r="AV173" s="1831"/>
      <c r="AW173" s="1831"/>
      <c r="AX173" s="1831"/>
      <c r="AY173" s="1831"/>
      <c r="AZ173" s="1831"/>
      <c r="BA173" s="1831"/>
      <c r="BB173" s="1831"/>
      <c r="BC173" s="1831"/>
      <c r="BD173" s="1831"/>
      <c r="BE173" s="1831"/>
      <c r="BF173" s="1831"/>
      <c r="BG173" s="1644"/>
    </row>
    <row customHeight="1" ht="11.25">
      <c r="A174" s="1175" t="s">
        <v>1036</v>
      </c>
      <c r="B174" s="1175"/>
      <c r="C174" s="1175"/>
      <c r="D174" s="1169"/>
      <c r="E174" s="1179"/>
      <c r="F174" s="1837"/>
      <c r="G174" s="1838"/>
      <c r="H174" s="2543" t="s">
        <v>1103</v>
      </c>
      <c r="I174" s="2544"/>
      <c r="J174" s="2727"/>
      <c r="K174" s="2545"/>
      <c r="L174" s="2135"/>
      <c r="M174" s="2136"/>
      <c r="N174" s="2536"/>
      <c r="O174" s="2537"/>
      <c r="P174" s="2540"/>
      <c r="Q174" s="2725"/>
      <c r="R174" s="2541"/>
      <c r="S174" s="2542"/>
      <c r="T174" s="2541"/>
      <c r="U174" s="2541"/>
      <c r="V174" s="2541"/>
      <c r="W174" s="2541"/>
      <c r="X174" s="2541"/>
      <c r="Y174" s="2541"/>
      <c r="Z174" s="1184"/>
      <c r="AA174" s="1185"/>
      <c r="AB174" s="1250" t="s">
        <v>1082</v>
      </c>
      <c r="AC174" s="1189"/>
      <c r="AD174" s="1189"/>
      <c r="AE174" s="1191"/>
      <c r="AF174" s="2534"/>
      <c r="AG174" s="2535"/>
      <c r="AH174" s="2535"/>
      <c r="AI174" s="2724"/>
      <c r="AJ174" s="2535"/>
      <c r="AK174" s="2535"/>
      <c r="AL174" s="1994"/>
      <c r="AM174" s="1831"/>
      <c r="AN174" s="1831"/>
      <c r="AO174" s="1831"/>
      <c r="AP174" s="1831"/>
      <c r="AQ174" s="1831"/>
      <c r="AR174" s="1831"/>
      <c r="AS174" s="1831"/>
      <c r="AT174" s="1831"/>
      <c r="AU174" s="1831"/>
      <c r="AV174" s="1831"/>
      <c r="AW174" s="1831"/>
      <c r="AX174" s="1831"/>
      <c r="AY174" s="1831"/>
      <c r="AZ174" s="1831"/>
      <c r="BA174" s="1831"/>
      <c r="BB174" s="1831"/>
      <c r="BC174" s="1831"/>
      <c r="BD174" s="1831"/>
      <c r="BE174" s="1831"/>
      <c r="BF174" s="1831"/>
      <c r="BG174" s="1644"/>
    </row>
    <row customHeight="1" ht="11.25">
      <c r="A175" s="1175" t="s">
        <v>1036</v>
      </c>
      <c r="B175" s="1175"/>
      <c r="C175" s="1175"/>
      <c r="D175" s="1169"/>
      <c r="E175" s="1179"/>
      <c r="F175" s="1837"/>
      <c r="G175" s="1838"/>
      <c r="H175" s="2543" t="s">
        <v>1103</v>
      </c>
      <c r="I175" s="2544"/>
      <c r="J175" s="2727"/>
      <c r="K175" s="2545"/>
      <c r="L175" s="2135"/>
      <c r="M175" s="2136"/>
      <c r="N175" s="1184"/>
      <c r="O175" s="1185"/>
      <c r="P175" s="1177" t="s">
        <v>1083</v>
      </c>
      <c r="Q175" s="1185"/>
      <c r="R175" s="1185"/>
      <c r="S175" s="1185"/>
      <c r="T175" s="1185"/>
      <c r="U175" s="1185"/>
      <c r="V175" s="1185"/>
      <c r="W175" s="1185"/>
      <c r="X175" s="1185"/>
      <c r="Y175" s="1185"/>
      <c r="Z175" s="1185"/>
      <c r="AA175" s="1185"/>
      <c r="AB175" s="1185"/>
      <c r="AC175" s="1185"/>
      <c r="AD175" s="1185"/>
      <c r="AE175" s="1192"/>
      <c r="AF175" s="2534"/>
      <c r="AG175" s="2535"/>
      <c r="AH175" s="2535"/>
      <c r="AI175" s="2724"/>
      <c r="AJ175" s="2535"/>
      <c r="AK175" s="2535"/>
      <c r="AL175" s="1994"/>
      <c r="AM175" s="1831"/>
      <c r="AN175" s="1831"/>
      <c r="AO175" s="1831"/>
      <c r="AP175" s="1831"/>
      <c r="AQ175" s="1831"/>
      <c r="AR175" s="1831"/>
      <c r="AS175" s="1831"/>
      <c r="AT175" s="1831"/>
      <c r="AU175" s="1831"/>
      <c r="AV175" s="1831"/>
      <c r="AW175" s="1831"/>
      <c r="AX175" s="1831"/>
      <c r="AY175" s="1831"/>
      <c r="AZ175" s="1831"/>
      <c r="BA175" s="1831"/>
      <c r="BB175" s="1831"/>
      <c r="BC175" s="1831"/>
      <c r="BD175" s="1831"/>
      <c r="BE175" s="1831"/>
      <c r="BF175" s="1831"/>
      <c r="BG175" s="1644"/>
    </row>
    <row customHeight="1" ht="11.25">
      <c r="A176" s="1175" t="s">
        <v>1036</v>
      </c>
      <c r="B176" s="1175" t="s">
        <v>1068</v>
      </c>
      <c r="C176" s="1175"/>
      <c r="D176" s="1169"/>
      <c r="E176" s="1179"/>
      <c r="F176" s="1837"/>
      <c r="G176" s="692" t="s">
        <v>104</v>
      </c>
      <c r="H176" s="2543" t="s">
        <v>1154</v>
      </c>
      <c r="I176" s="2544" t="s">
        <v>1069</v>
      </c>
      <c r="J176" s="2513" t="s">
        <v>1092</v>
      </c>
      <c r="K176" s="2545" t="s">
        <v>1155</v>
      </c>
      <c r="L176" s="2135" t="s">
        <v>19</v>
      </c>
      <c r="M176" s="2136"/>
      <c r="N176" s="1992"/>
      <c r="O176" s="1186" t="s">
        <v>391</v>
      </c>
      <c r="P176" s="1187"/>
      <c r="Q176" s="1187"/>
      <c r="R176" s="1187"/>
      <c r="S176" s="1187"/>
      <c r="T176" s="1187"/>
      <c r="U176" s="1187"/>
      <c r="V176" s="1187"/>
      <c r="W176" s="1187"/>
      <c r="X176" s="1187"/>
      <c r="Y176" s="1187"/>
      <c r="Z176" s="1187"/>
      <c r="AA176" s="1187"/>
      <c r="AB176" s="1187"/>
      <c r="AC176" s="1187"/>
      <c r="AD176" s="1187"/>
      <c r="AE176" s="1187"/>
      <c r="AF176" s="2534">
        <v>1</v>
      </c>
      <c r="AG176" s="2535" t="s">
        <v>1072</v>
      </c>
      <c r="AH176" s="2535" t="s">
        <v>1085</v>
      </c>
      <c r="AI176" s="2534">
        <v>1</v>
      </c>
      <c r="AJ176" s="2535" t="s">
        <v>1095</v>
      </c>
      <c r="AK176" s="2535" t="s">
        <v>1085</v>
      </c>
      <c r="AL176" s="1994"/>
      <c r="AM176" s="1831"/>
      <c r="AN176" s="1831"/>
      <c r="AO176" s="1831"/>
      <c r="AP176" s="1831"/>
      <c r="AQ176" s="1831"/>
      <c r="AR176" s="1831"/>
      <c r="AS176" s="1831"/>
      <c r="AT176" s="1831"/>
      <c r="AU176" s="1831"/>
      <c r="AV176" s="1831"/>
      <c r="AW176" s="1831"/>
      <c r="AX176" s="1831"/>
      <c r="AY176" s="1831"/>
      <c r="AZ176" s="1831"/>
      <c r="BA176" s="1831"/>
      <c r="BB176" s="1831"/>
      <c r="BC176" s="1831"/>
      <c r="BD176" s="1831"/>
      <c r="BE176" s="1831"/>
      <c r="BF176" s="1831"/>
      <c r="BG176" s="1644"/>
    </row>
    <row customHeight="1" ht="11.25">
      <c r="A177" s="1175" t="s">
        <v>1036</v>
      </c>
      <c r="B177" s="1175"/>
      <c r="C177" s="1175"/>
      <c r="D177" s="1169"/>
      <c r="E177" s="1179"/>
      <c r="F177" s="1837"/>
      <c r="G177" s="1838"/>
      <c r="H177" s="2543" t="s">
        <v>1152</v>
      </c>
      <c r="I177" s="2544"/>
      <c r="J177" s="2513"/>
      <c r="K177" s="2545"/>
      <c r="L177" s="2135"/>
      <c r="M177" s="2136"/>
      <c r="N177" s="2536"/>
      <c r="O177" s="2537">
        <v>1</v>
      </c>
      <c r="P177" s="2538" t="s">
        <v>63</v>
      </c>
      <c r="Q177" s="2725" t="s">
        <v>1112</v>
      </c>
      <c r="R177" s="2726" t="s">
        <v>1076</v>
      </c>
      <c r="S177" s="2726" t="s">
        <v>106</v>
      </c>
      <c r="T177" s="2726" t="s">
        <v>106</v>
      </c>
      <c r="U177" s="2726" t="s">
        <v>107</v>
      </c>
      <c r="V177" s="2726" t="s">
        <v>1077</v>
      </c>
      <c r="W177" s="2726" t="s">
        <v>1078</v>
      </c>
      <c r="X177" s="2726" t="s">
        <v>1113</v>
      </c>
      <c r="Y177" s="2726" t="s">
        <v>1114</v>
      </c>
      <c r="Z177" s="1184"/>
      <c r="AA177" s="1185"/>
      <c r="AB177" s="1185"/>
      <c r="AC177" s="1189"/>
      <c r="AD177" s="1189"/>
      <c r="AE177" s="1190"/>
      <c r="AF177" s="2534"/>
      <c r="AG177" s="2535"/>
      <c r="AH177" s="2535"/>
      <c r="AI177" s="2534"/>
      <c r="AJ177" s="2535"/>
      <c r="AK177" s="2535"/>
      <c r="AL177" s="1994"/>
      <c r="AM177" s="1831"/>
      <c r="AN177" s="1831"/>
      <c r="AO177" s="1831"/>
      <c r="AP177" s="1831"/>
      <c r="AQ177" s="1831"/>
      <c r="AR177" s="1831"/>
      <c r="AS177" s="1831"/>
      <c r="AT177" s="1831"/>
      <c r="AU177" s="1831"/>
      <c r="AV177" s="1831"/>
      <c r="AW177" s="1831"/>
      <c r="AX177" s="1831"/>
      <c r="AY177" s="1831"/>
      <c r="AZ177" s="1831"/>
      <c r="BA177" s="1831"/>
      <c r="BB177" s="1831"/>
      <c r="BC177" s="1831"/>
      <c r="BD177" s="1831"/>
      <c r="BE177" s="1831"/>
      <c r="BF177" s="1831"/>
      <c r="BG177" s="1644"/>
    </row>
    <row customHeight="1" ht="11.25">
      <c r="A178" s="1175" t="s">
        <v>1036</v>
      </c>
      <c r="B178" s="1175"/>
      <c r="C178" s="1175"/>
      <c r="D178" s="1169"/>
      <c r="E178" s="1179"/>
      <c r="F178" s="1837"/>
      <c r="G178" s="1838"/>
      <c r="H178" s="2543" t="s">
        <v>1152</v>
      </c>
      <c r="I178" s="2544"/>
      <c r="J178" s="2513"/>
      <c r="K178" s="2545"/>
      <c r="L178" s="2135"/>
      <c r="M178" s="2136"/>
      <c r="N178" s="2536"/>
      <c r="O178" s="2537"/>
      <c r="P178" s="2539"/>
      <c r="Q178" s="2725"/>
      <c r="R178" s="2541"/>
      <c r="S178" s="2542"/>
      <c r="T178" s="2541"/>
      <c r="U178" s="2541"/>
      <c r="V178" s="2541"/>
      <c r="W178" s="2541"/>
      <c r="X178" s="2541"/>
      <c r="Y178" s="2541"/>
      <c r="Z178" s="1836"/>
      <c r="AA178" s="1802">
        <v>1</v>
      </c>
      <c r="AB178" s="1188" t="s">
        <v>1081</v>
      </c>
      <c r="AC178" s="1178">
        <v>2144.29</v>
      </c>
      <c r="AD178" s="1188" t="str">
        <f>AB178</f>
        <v>      Амортизационные отчисления с выделением результатов переоценки основных средств и нематериальных активов</v>
      </c>
      <c r="AE178" s="1178">
        <v>2144.29</v>
      </c>
      <c r="AF178" s="2534"/>
      <c r="AG178" s="2535"/>
      <c r="AH178" s="2535"/>
      <c r="AI178" s="2534"/>
      <c r="AJ178" s="2535"/>
      <c r="AK178" s="2535"/>
      <c r="AL178" s="1994"/>
      <c r="AM178" s="1831"/>
      <c r="AN178" s="1831"/>
      <c r="AO178" s="1831"/>
      <c r="AP178" s="1831"/>
      <c r="AQ178" s="1831"/>
      <c r="AR178" s="1831"/>
      <c r="AS178" s="1831"/>
      <c r="AT178" s="1831"/>
      <c r="AU178" s="1831"/>
      <c r="AV178" s="1831"/>
      <c r="AW178" s="1831"/>
      <c r="AX178" s="1831"/>
      <c r="AY178" s="1831"/>
      <c r="AZ178" s="1831"/>
      <c r="BA178" s="1831"/>
      <c r="BB178" s="1831"/>
      <c r="BC178" s="1831"/>
      <c r="BD178" s="1831"/>
      <c r="BE178" s="1831"/>
      <c r="BF178" s="1831"/>
      <c r="BG178" s="1644"/>
    </row>
    <row customHeight="1" ht="11.25">
      <c r="A179" s="1175" t="s">
        <v>1036</v>
      </c>
      <c r="B179" s="1175"/>
      <c r="C179" s="1175"/>
      <c r="D179" s="1169"/>
      <c r="E179" s="1179"/>
      <c r="F179" s="1837"/>
      <c r="G179" s="1838"/>
      <c r="H179" s="2543" t="s">
        <v>1152</v>
      </c>
      <c r="I179" s="2544"/>
      <c r="J179" s="2513"/>
      <c r="K179" s="2545"/>
      <c r="L179" s="2135"/>
      <c r="M179" s="2136"/>
      <c r="N179" s="2536"/>
      <c r="O179" s="2537"/>
      <c r="P179" s="2540"/>
      <c r="Q179" s="2725"/>
      <c r="R179" s="2541"/>
      <c r="S179" s="2542"/>
      <c r="T179" s="2541"/>
      <c r="U179" s="2541"/>
      <c r="V179" s="2541"/>
      <c r="W179" s="2541"/>
      <c r="X179" s="2541"/>
      <c r="Y179" s="2541"/>
      <c r="Z179" s="1184"/>
      <c r="AA179" s="1185"/>
      <c r="AB179" s="1250" t="s">
        <v>1082</v>
      </c>
      <c r="AC179" s="1189"/>
      <c r="AD179" s="1189"/>
      <c r="AE179" s="1191"/>
      <c r="AF179" s="2534"/>
      <c r="AG179" s="2535"/>
      <c r="AH179" s="2535"/>
      <c r="AI179" s="2534"/>
      <c r="AJ179" s="2535"/>
      <c r="AK179" s="2535"/>
      <c r="AL179" s="1994"/>
      <c r="AM179" s="1831"/>
      <c r="AN179" s="1831"/>
      <c r="AO179" s="1831"/>
      <c r="AP179" s="1831"/>
      <c r="AQ179" s="1831"/>
      <c r="AR179" s="1831"/>
      <c r="AS179" s="1831"/>
      <c r="AT179" s="1831"/>
      <c r="AU179" s="1831"/>
      <c r="AV179" s="1831"/>
      <c r="AW179" s="1831"/>
      <c r="AX179" s="1831"/>
      <c r="AY179" s="1831"/>
      <c r="AZ179" s="1831"/>
      <c r="BA179" s="1831"/>
      <c r="BB179" s="1831"/>
      <c r="BC179" s="1831"/>
      <c r="BD179" s="1831"/>
      <c r="BE179" s="1831"/>
      <c r="BF179" s="1831"/>
      <c r="BG179" s="1644"/>
    </row>
    <row customHeight="1" ht="11.25">
      <c r="A180" s="1175" t="s">
        <v>1036</v>
      </c>
      <c r="B180" s="1175"/>
      <c r="C180" s="1175"/>
      <c r="D180" s="1169"/>
      <c r="E180" s="1179"/>
      <c r="F180" s="1837"/>
      <c r="G180" s="1838"/>
      <c r="H180" s="2543" t="s">
        <v>1152</v>
      </c>
      <c r="I180" s="2544"/>
      <c r="J180" s="2513"/>
      <c r="K180" s="2545"/>
      <c r="L180" s="2135"/>
      <c r="M180" s="2136"/>
      <c r="N180" s="1184"/>
      <c r="O180" s="1185"/>
      <c r="P180" s="1177" t="s">
        <v>1083</v>
      </c>
      <c r="Q180" s="1185"/>
      <c r="R180" s="1185"/>
      <c r="S180" s="1185"/>
      <c r="T180" s="1185"/>
      <c r="U180" s="1185"/>
      <c r="V180" s="1185"/>
      <c r="W180" s="1185"/>
      <c r="X180" s="1185"/>
      <c r="Y180" s="1185"/>
      <c r="Z180" s="1185"/>
      <c r="AA180" s="1185"/>
      <c r="AB180" s="1185"/>
      <c r="AC180" s="1185"/>
      <c r="AD180" s="1185"/>
      <c r="AE180" s="1192"/>
      <c r="AF180" s="2534"/>
      <c r="AG180" s="2535"/>
      <c r="AH180" s="2535"/>
      <c r="AI180" s="2534"/>
      <c r="AJ180" s="2535"/>
      <c r="AK180" s="2535"/>
      <c r="AL180" s="1994"/>
      <c r="AM180" s="1831"/>
      <c r="AN180" s="1831"/>
      <c r="AO180" s="1831"/>
      <c r="AP180" s="1831"/>
      <c r="AQ180" s="1831"/>
      <c r="AR180" s="1831"/>
      <c r="AS180" s="1831"/>
      <c r="AT180" s="1831"/>
      <c r="AU180" s="1831"/>
      <c r="AV180" s="1831"/>
      <c r="AW180" s="1831"/>
      <c r="AX180" s="1831"/>
      <c r="AY180" s="1831"/>
      <c r="AZ180" s="1831"/>
      <c r="BA180" s="1831"/>
      <c r="BB180" s="1831"/>
      <c r="BC180" s="1831"/>
      <c r="BD180" s="1831"/>
      <c r="BE180" s="1831"/>
      <c r="BF180" s="1831"/>
      <c r="BG180" s="1644"/>
    </row>
    <row customHeight="1" ht="11.25">
      <c r="A181" s="1175" t="s">
        <v>1036</v>
      </c>
      <c r="B181" s="1175" t="s">
        <v>1068</v>
      </c>
      <c r="C181" s="1175"/>
      <c r="D181" s="1169"/>
      <c r="E181" s="1179"/>
      <c r="F181" s="1837"/>
      <c r="G181" s="692" t="s">
        <v>104</v>
      </c>
      <c r="H181" s="2543" t="s">
        <v>1156</v>
      </c>
      <c r="I181" s="2544" t="s">
        <v>1069</v>
      </c>
      <c r="J181" s="2513" t="s">
        <v>1070</v>
      </c>
      <c r="K181" s="2545" t="s">
        <v>1157</v>
      </c>
      <c r="L181" s="2135" t="s">
        <v>19</v>
      </c>
      <c r="M181" s="2136"/>
      <c r="N181" s="1992"/>
      <c r="O181" s="1186" t="s">
        <v>391</v>
      </c>
      <c r="P181" s="1187"/>
      <c r="Q181" s="1187"/>
      <c r="R181" s="1187"/>
      <c r="S181" s="1187"/>
      <c r="T181" s="1187"/>
      <c r="U181" s="1187"/>
      <c r="V181" s="1187"/>
      <c r="W181" s="1187"/>
      <c r="X181" s="1187"/>
      <c r="Y181" s="1187"/>
      <c r="Z181" s="1187"/>
      <c r="AA181" s="1187"/>
      <c r="AB181" s="1187"/>
      <c r="AC181" s="1187"/>
      <c r="AD181" s="1187"/>
      <c r="AE181" s="1187"/>
      <c r="AF181" s="2534">
        <v>5</v>
      </c>
      <c r="AG181" s="2535" t="s">
        <v>1072</v>
      </c>
      <c r="AH181" s="2535" t="s">
        <v>1158</v>
      </c>
      <c r="AI181" s="2724"/>
      <c r="AJ181" s="2535" t="s">
        <v>1074</v>
      </c>
      <c r="AK181" s="2535" t="s">
        <v>1074</v>
      </c>
      <c r="AL181" s="1994"/>
      <c r="AM181" s="1831"/>
      <c r="AN181" s="1831"/>
      <c r="AO181" s="1831"/>
      <c r="AP181" s="1831"/>
      <c r="AQ181" s="1831"/>
      <c r="AR181" s="1831"/>
      <c r="AS181" s="1831"/>
      <c r="AT181" s="1831"/>
      <c r="AU181" s="1831"/>
      <c r="AV181" s="1831"/>
      <c r="AW181" s="1831"/>
      <c r="AX181" s="1831"/>
      <c r="AY181" s="1831"/>
      <c r="AZ181" s="1831"/>
      <c r="BA181" s="1831"/>
      <c r="BB181" s="1831"/>
      <c r="BC181" s="1831"/>
      <c r="BD181" s="1831"/>
      <c r="BE181" s="1831"/>
      <c r="BF181" s="1831"/>
      <c r="BG181" s="1644"/>
    </row>
    <row customHeight="1" ht="11.25">
      <c r="A182" s="1175" t="s">
        <v>1036</v>
      </c>
      <c r="B182" s="1175"/>
      <c r="C182" s="1175"/>
      <c r="D182" s="1169"/>
      <c r="E182" s="1179"/>
      <c r="F182" s="1837"/>
      <c r="G182" s="1838"/>
      <c r="H182" s="2543" t="s">
        <v>1154</v>
      </c>
      <c r="I182" s="2544"/>
      <c r="J182" s="2513"/>
      <c r="K182" s="2545"/>
      <c r="L182" s="2135"/>
      <c r="M182" s="2136"/>
      <c r="N182" s="2536"/>
      <c r="O182" s="2537">
        <v>1</v>
      </c>
      <c r="P182" s="2538" t="s">
        <v>63</v>
      </c>
      <c r="Q182" s="2725" t="s">
        <v>1112</v>
      </c>
      <c r="R182" s="2726" t="s">
        <v>1076</v>
      </c>
      <c r="S182" s="2726" t="s">
        <v>106</v>
      </c>
      <c r="T182" s="2726" t="s">
        <v>106</v>
      </c>
      <c r="U182" s="2726" t="s">
        <v>107</v>
      </c>
      <c r="V182" s="2726" t="s">
        <v>1077</v>
      </c>
      <c r="W182" s="2726" t="s">
        <v>1078</v>
      </c>
      <c r="X182" s="2726" t="s">
        <v>1113</v>
      </c>
      <c r="Y182" s="2726" t="s">
        <v>1114</v>
      </c>
      <c r="Z182" s="1184"/>
      <c r="AA182" s="1185"/>
      <c r="AB182" s="1185"/>
      <c r="AC182" s="1189"/>
      <c r="AD182" s="1189"/>
      <c r="AE182" s="1190"/>
      <c r="AF182" s="2534"/>
      <c r="AG182" s="2535"/>
      <c r="AH182" s="2535"/>
      <c r="AI182" s="2724"/>
      <c r="AJ182" s="2535"/>
      <c r="AK182" s="2535"/>
      <c r="AL182" s="1994"/>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c r="BF182" s="1831"/>
      <c r="BG182" s="1644"/>
    </row>
    <row customHeight="1" ht="11.25">
      <c r="A183" s="1175" t="s">
        <v>1036</v>
      </c>
      <c r="B183" s="1175"/>
      <c r="C183" s="1175"/>
      <c r="D183" s="1169"/>
      <c r="E183" s="1179"/>
      <c r="F183" s="1837"/>
      <c r="G183" s="1838"/>
      <c r="H183" s="2543" t="s">
        <v>1154</v>
      </c>
      <c r="I183" s="2544"/>
      <c r="J183" s="2513"/>
      <c r="K183" s="2545"/>
      <c r="L183" s="2135"/>
      <c r="M183" s="2136"/>
      <c r="N183" s="2536"/>
      <c r="O183" s="2537"/>
      <c r="P183" s="2539"/>
      <c r="Q183" s="2725"/>
      <c r="R183" s="2541"/>
      <c r="S183" s="2542"/>
      <c r="T183" s="2541"/>
      <c r="U183" s="2541"/>
      <c r="V183" s="2541"/>
      <c r="W183" s="2541"/>
      <c r="X183" s="2541"/>
      <c r="Y183" s="2541"/>
      <c r="Z183" s="1836"/>
      <c r="AA183" s="1802">
        <v>1</v>
      </c>
      <c r="AB183" s="1188" t="s">
        <v>1081</v>
      </c>
      <c r="AC183" s="1178">
        <v>15600</v>
      </c>
      <c r="AD183" s="1188" t="str">
        <f>AB183</f>
        <v>      Амортизационные отчисления с выделением результатов переоценки основных средств и нематериальных активов</v>
      </c>
      <c r="AE183" s="1178">
        <v>13050</v>
      </c>
      <c r="AF183" s="2534"/>
      <c r="AG183" s="2535"/>
      <c r="AH183" s="2535"/>
      <c r="AI183" s="2724"/>
      <c r="AJ183" s="2535"/>
      <c r="AK183" s="2535"/>
      <c r="AL183" s="1994"/>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c r="BF183" s="1831"/>
      <c r="BG183" s="1644"/>
    </row>
    <row customHeight="1" ht="11.25">
      <c r="A184" s="1175" t="s">
        <v>1036</v>
      </c>
      <c r="B184" s="1175"/>
      <c r="C184" s="1175"/>
      <c r="D184" s="1169"/>
      <c r="E184" s="1179"/>
      <c r="F184" s="1837"/>
      <c r="G184" s="1838"/>
      <c r="H184" s="2543" t="s">
        <v>1154</v>
      </c>
      <c r="I184" s="2544"/>
      <c r="J184" s="2513"/>
      <c r="K184" s="2545"/>
      <c r="L184" s="2135"/>
      <c r="M184" s="2136"/>
      <c r="N184" s="2536"/>
      <c r="O184" s="2537"/>
      <c r="P184" s="2540"/>
      <c r="Q184" s="2725"/>
      <c r="R184" s="2541"/>
      <c r="S184" s="2542"/>
      <c r="T184" s="2541"/>
      <c r="U184" s="2541"/>
      <c r="V184" s="2541"/>
      <c r="W184" s="2541"/>
      <c r="X184" s="2541"/>
      <c r="Y184" s="2541"/>
      <c r="Z184" s="1184"/>
      <c r="AA184" s="1185"/>
      <c r="AB184" s="1250" t="s">
        <v>1082</v>
      </c>
      <c r="AC184" s="1189"/>
      <c r="AD184" s="1189"/>
      <c r="AE184" s="1191"/>
      <c r="AF184" s="2534"/>
      <c r="AG184" s="2535"/>
      <c r="AH184" s="2535"/>
      <c r="AI184" s="2724"/>
      <c r="AJ184" s="2535"/>
      <c r="AK184" s="2535"/>
      <c r="AL184" s="1994"/>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c r="BF184" s="1831"/>
      <c r="BG184" s="1644"/>
    </row>
    <row customHeight="1" ht="11.25">
      <c r="A185" s="1175" t="s">
        <v>1036</v>
      </c>
      <c r="B185" s="1175"/>
      <c r="C185" s="1175"/>
      <c r="D185" s="1169"/>
      <c r="E185" s="1179"/>
      <c r="F185" s="1837"/>
      <c r="G185" s="1838"/>
      <c r="H185" s="2543" t="s">
        <v>1154</v>
      </c>
      <c r="I185" s="2544"/>
      <c r="J185" s="2513"/>
      <c r="K185" s="2545"/>
      <c r="L185" s="2135"/>
      <c r="M185" s="2136"/>
      <c r="N185" s="1184"/>
      <c r="O185" s="1185"/>
      <c r="P185" s="1177" t="s">
        <v>1083</v>
      </c>
      <c r="Q185" s="1185"/>
      <c r="R185" s="1185"/>
      <c r="S185" s="1185"/>
      <c r="T185" s="1185"/>
      <c r="U185" s="1185"/>
      <c r="V185" s="1185"/>
      <c r="W185" s="1185"/>
      <c r="X185" s="1185"/>
      <c r="Y185" s="1185"/>
      <c r="Z185" s="1185"/>
      <c r="AA185" s="1185"/>
      <c r="AB185" s="1185"/>
      <c r="AC185" s="1185"/>
      <c r="AD185" s="1185"/>
      <c r="AE185" s="1192"/>
      <c r="AF185" s="2534"/>
      <c r="AG185" s="2535"/>
      <c r="AH185" s="2535"/>
      <c r="AI185" s="2724"/>
      <c r="AJ185" s="2535"/>
      <c r="AK185" s="2535"/>
      <c r="AL185" s="1994"/>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c r="BF185" s="1831"/>
      <c r="BG185" s="1644"/>
    </row>
    <row customHeight="1" ht="11.25">
      <c r="A186" s="1175" t="s">
        <v>1036</v>
      </c>
      <c r="B186" s="1175" t="s">
        <v>22</v>
      </c>
      <c r="C186" s="1175"/>
      <c r="D186" s="1169"/>
      <c r="E186" s="1179"/>
      <c r="F186" s="1837"/>
      <c r="G186" s="692" t="s">
        <v>104</v>
      </c>
      <c r="H186" s="2543" t="s">
        <v>1159</v>
      </c>
      <c r="I186" s="2544" t="s">
        <v>1147</v>
      </c>
      <c r="J186" s="2727" t="s">
        <v>22</v>
      </c>
      <c r="K186" s="2545" t="s">
        <v>1160</v>
      </c>
      <c r="L186" s="2135" t="s">
        <v>19</v>
      </c>
      <c r="M186" s="2136"/>
      <c r="N186" s="1992"/>
      <c r="O186" s="1186" t="s">
        <v>391</v>
      </c>
      <c r="P186" s="1187"/>
      <c r="Q186" s="1187"/>
      <c r="R186" s="1187"/>
      <c r="S186" s="1187"/>
      <c r="T186" s="1187"/>
      <c r="U186" s="1187"/>
      <c r="V186" s="1187"/>
      <c r="W186" s="1187"/>
      <c r="X186" s="1187"/>
      <c r="Y186" s="1187"/>
      <c r="Z186" s="1187"/>
      <c r="AA186" s="1187"/>
      <c r="AB186" s="1187"/>
      <c r="AC186" s="1187"/>
      <c r="AD186" s="1187"/>
      <c r="AE186" s="1187"/>
      <c r="AF186" s="2534">
        <v>2</v>
      </c>
      <c r="AG186" s="2535" t="s">
        <v>1072</v>
      </c>
      <c r="AH186" s="2535" t="s">
        <v>1073</v>
      </c>
      <c r="AI186" s="2724"/>
      <c r="AJ186" s="2535" t="s">
        <v>1074</v>
      </c>
      <c r="AK186" s="2535" t="s">
        <v>1074</v>
      </c>
      <c r="AL186" s="1994"/>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c r="BF186" s="1831"/>
      <c r="BG186" s="1644"/>
    </row>
    <row customHeight="1" ht="11.25">
      <c r="A187" s="1175" t="s">
        <v>1036</v>
      </c>
      <c r="B187" s="1175"/>
      <c r="C187" s="1175"/>
      <c r="D187" s="1169"/>
      <c r="E187" s="1179"/>
      <c r="F187" s="1837"/>
      <c r="G187" s="1838"/>
      <c r="H187" s="2543" t="s">
        <v>1156</v>
      </c>
      <c r="I187" s="2544"/>
      <c r="J187" s="2727"/>
      <c r="K187" s="2545"/>
      <c r="L187" s="2135"/>
      <c r="M187" s="2136"/>
      <c r="N187" s="2536"/>
      <c r="O187" s="2537">
        <v>1</v>
      </c>
      <c r="P187" s="2538" t="s">
        <v>19</v>
      </c>
      <c r="Q187" s="2541" t="s">
        <v>22</v>
      </c>
      <c r="R187" s="2541" t="s">
        <v>22</v>
      </c>
      <c r="S187" s="2541" t="s">
        <v>22</v>
      </c>
      <c r="T187" s="2541" t="s">
        <v>22</v>
      </c>
      <c r="U187" s="2541" t="s">
        <v>22</v>
      </c>
      <c r="V187" s="2541" t="s">
        <v>22</v>
      </c>
      <c r="W187" s="2541" t="s">
        <v>22</v>
      </c>
      <c r="X187" s="2541" t="s">
        <v>22</v>
      </c>
      <c r="Y187" s="2541"/>
      <c r="Z187" s="1184"/>
      <c r="AA187" s="1185"/>
      <c r="AB187" s="1185"/>
      <c r="AC187" s="1189"/>
      <c r="AD187" s="1189"/>
      <c r="AE187" s="1190"/>
      <c r="AF187" s="2534"/>
      <c r="AG187" s="2535"/>
      <c r="AH187" s="2535"/>
      <c r="AI187" s="2724"/>
      <c r="AJ187" s="2535"/>
      <c r="AK187" s="2535"/>
      <c r="AL187" s="1994"/>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c r="BF187" s="1831"/>
      <c r="BG187" s="1644"/>
    </row>
    <row customHeight="1" ht="11.25">
      <c r="A188" s="1175" t="s">
        <v>1036</v>
      </c>
      <c r="B188" s="1175"/>
      <c r="C188" s="1175"/>
      <c r="D188" s="1169"/>
      <c r="E188" s="1179"/>
      <c r="F188" s="1837"/>
      <c r="G188" s="1838"/>
      <c r="H188" s="2543" t="s">
        <v>1156</v>
      </c>
      <c r="I188" s="2544"/>
      <c r="J188" s="2727"/>
      <c r="K188" s="2545"/>
      <c r="L188" s="2135"/>
      <c r="M188" s="2136"/>
      <c r="N188" s="2536"/>
      <c r="O188" s="2537"/>
      <c r="P188" s="2539"/>
      <c r="Q188" s="2541"/>
      <c r="R188" s="2541"/>
      <c r="S188" s="2542"/>
      <c r="T188" s="2541"/>
      <c r="U188" s="2541"/>
      <c r="V188" s="2541"/>
      <c r="W188" s="2541"/>
      <c r="X188" s="2541"/>
      <c r="Y188" s="2541"/>
      <c r="Z188" s="1836"/>
      <c r="AA188" s="1802">
        <v>1</v>
      </c>
      <c r="AB188" s="1188" t="s">
        <v>1125</v>
      </c>
      <c r="AC188" s="1178">
        <v>19411.5</v>
      </c>
      <c r="AD188" s="1188" t="str">
        <f>AB188</f>
        <v>  Прочие</v>
      </c>
      <c r="AE188" s="1178">
        <v>0</v>
      </c>
      <c r="AF188" s="2534"/>
      <c r="AG188" s="2535"/>
      <c r="AH188" s="2535"/>
      <c r="AI188" s="2724"/>
      <c r="AJ188" s="2535"/>
      <c r="AK188" s="2535"/>
      <c r="AL188" s="1994"/>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c r="BF188" s="1831"/>
      <c r="BG188" s="1644"/>
    </row>
    <row customHeight="1" ht="11.25">
      <c r="A189" s="1175" t="s">
        <v>1036</v>
      </c>
      <c r="B189" s="1175"/>
      <c r="C189" s="1175"/>
      <c r="D189" s="1169"/>
      <c r="E189" s="1179"/>
      <c r="F189" s="1837"/>
      <c r="G189" s="1838"/>
      <c r="H189" s="2543" t="s">
        <v>1156</v>
      </c>
      <c r="I189" s="2544"/>
      <c r="J189" s="2727"/>
      <c r="K189" s="2545"/>
      <c r="L189" s="2135"/>
      <c r="M189" s="2136"/>
      <c r="N189" s="2536"/>
      <c r="O189" s="2537"/>
      <c r="P189" s="2540"/>
      <c r="Q189" s="2541"/>
      <c r="R189" s="2541"/>
      <c r="S189" s="2542"/>
      <c r="T189" s="2541"/>
      <c r="U189" s="2541"/>
      <c r="V189" s="2541"/>
      <c r="W189" s="2541"/>
      <c r="X189" s="2541"/>
      <c r="Y189" s="2541"/>
      <c r="Z189" s="1184"/>
      <c r="AA189" s="1185"/>
      <c r="AB189" s="1250" t="s">
        <v>1082</v>
      </c>
      <c r="AC189" s="1189"/>
      <c r="AD189" s="1189"/>
      <c r="AE189" s="1191"/>
      <c r="AF189" s="2534"/>
      <c r="AG189" s="2535"/>
      <c r="AH189" s="2535"/>
      <c r="AI189" s="2724"/>
      <c r="AJ189" s="2535"/>
      <c r="AK189" s="2535"/>
      <c r="AL189" s="1994"/>
      <c r="AM189" s="1831"/>
      <c r="AN189" s="1831"/>
      <c r="AO189" s="1831"/>
      <c r="AP189" s="1831"/>
      <c r="AQ189" s="1831"/>
      <c r="AR189" s="1831"/>
      <c r="AS189" s="1831"/>
      <c r="AT189" s="1831"/>
      <c r="AU189" s="1831"/>
      <c r="AV189" s="1831"/>
      <c r="AW189" s="1831"/>
      <c r="AX189" s="1831"/>
      <c r="AY189" s="1831"/>
      <c r="AZ189" s="1831"/>
      <c r="BA189" s="1831"/>
      <c r="BB189" s="1831"/>
      <c r="BC189" s="1831"/>
      <c r="BD189" s="1831"/>
      <c r="BE189" s="1831"/>
      <c r="BF189" s="1831"/>
      <c r="BG189" s="1644"/>
    </row>
    <row customHeight="1" ht="11.25">
      <c r="A190" s="1175" t="s">
        <v>1036</v>
      </c>
      <c r="B190" s="1175"/>
      <c r="C190" s="1175"/>
      <c r="D190" s="1169"/>
      <c r="E190" s="1179"/>
      <c r="F190" s="1837"/>
      <c r="G190" s="1838"/>
      <c r="H190" s="2543" t="s">
        <v>1156</v>
      </c>
      <c r="I190" s="2544"/>
      <c r="J190" s="2727"/>
      <c r="K190" s="2545"/>
      <c r="L190" s="2135"/>
      <c r="M190" s="2136"/>
      <c r="N190" s="1184"/>
      <c r="O190" s="1185"/>
      <c r="P190" s="1177" t="s">
        <v>1083</v>
      </c>
      <c r="Q190" s="1185"/>
      <c r="R190" s="1185"/>
      <c r="S190" s="1185"/>
      <c r="T190" s="1185"/>
      <c r="U190" s="1185"/>
      <c r="V190" s="1185"/>
      <c r="W190" s="1185"/>
      <c r="X190" s="1185"/>
      <c r="Y190" s="1185"/>
      <c r="Z190" s="1185"/>
      <c r="AA190" s="1185"/>
      <c r="AB190" s="1185"/>
      <c r="AC190" s="1185"/>
      <c r="AD190" s="1185"/>
      <c r="AE190" s="1192"/>
      <c r="AF190" s="2534"/>
      <c r="AG190" s="2535"/>
      <c r="AH190" s="2535"/>
      <c r="AI190" s="2724"/>
      <c r="AJ190" s="2535"/>
      <c r="AK190" s="2535"/>
      <c r="AL190" s="1994"/>
      <c r="AM190" s="1831"/>
      <c r="AN190" s="1831"/>
      <c r="AO190" s="1831"/>
      <c r="AP190" s="1831"/>
      <c r="AQ190" s="1831"/>
      <c r="AR190" s="1831"/>
      <c r="AS190" s="1831"/>
      <c r="AT190" s="1831"/>
      <c r="AU190" s="1831"/>
      <c r="AV190" s="1831"/>
      <c r="AW190" s="1831"/>
      <c r="AX190" s="1831"/>
      <c r="AY190" s="1831"/>
      <c r="AZ190" s="1831"/>
      <c r="BA190" s="1831"/>
      <c r="BB190" s="1831"/>
      <c r="BC190" s="1831"/>
      <c r="BD190" s="1831"/>
      <c r="BE190" s="1831"/>
      <c r="BF190" s="1831"/>
      <c r="BG190" s="1644"/>
    </row>
    <row customHeight="1" ht="11.25">
      <c r="A191" s="1175" t="s">
        <v>1036</v>
      </c>
      <c r="B191" s="1175" t="s">
        <v>1068</v>
      </c>
      <c r="C191" s="1175"/>
      <c r="D191" s="1169"/>
      <c r="E191" s="1179"/>
      <c r="F191" s="1837"/>
      <c r="G191" s="692" t="s">
        <v>104</v>
      </c>
      <c r="H191" s="2543" t="s">
        <v>1161</v>
      </c>
      <c r="I191" s="2544" t="s">
        <v>1069</v>
      </c>
      <c r="J191" s="2513" t="s">
        <v>1070</v>
      </c>
      <c r="K191" s="2545" t="s">
        <v>1162</v>
      </c>
      <c r="L191" s="2135" t="s">
        <v>19</v>
      </c>
      <c r="M191" s="2136"/>
      <c r="N191" s="1992"/>
      <c r="O191" s="1186" t="s">
        <v>391</v>
      </c>
      <c r="P191" s="1187"/>
      <c r="Q191" s="1187"/>
      <c r="R191" s="1187"/>
      <c r="S191" s="1187"/>
      <c r="T191" s="1187"/>
      <c r="U191" s="1187"/>
      <c r="V191" s="1187"/>
      <c r="W191" s="1187"/>
      <c r="X191" s="1187"/>
      <c r="Y191" s="1187"/>
      <c r="Z191" s="1187"/>
      <c r="AA191" s="1187"/>
      <c r="AB191" s="1187"/>
      <c r="AC191" s="1187"/>
      <c r="AD191" s="1187"/>
      <c r="AE191" s="1187"/>
      <c r="AF191" s="2534">
        <v>5</v>
      </c>
      <c r="AG191" s="2535" t="s">
        <v>1072</v>
      </c>
      <c r="AH191" s="2535" t="s">
        <v>1163</v>
      </c>
      <c r="AI191" s="2724"/>
      <c r="AJ191" s="2535" t="s">
        <v>1074</v>
      </c>
      <c r="AK191" s="2535" t="s">
        <v>1074</v>
      </c>
      <c r="AL191" s="1994"/>
      <c r="AM191" s="1831"/>
      <c r="AN191" s="1831"/>
      <c r="AO191" s="1831"/>
      <c r="AP191" s="1831"/>
      <c r="AQ191" s="1831"/>
      <c r="AR191" s="1831"/>
      <c r="AS191" s="1831"/>
      <c r="AT191" s="1831"/>
      <c r="AU191" s="1831"/>
      <c r="AV191" s="1831"/>
      <c r="AW191" s="1831"/>
      <c r="AX191" s="1831"/>
      <c r="AY191" s="1831"/>
      <c r="AZ191" s="1831"/>
      <c r="BA191" s="1831"/>
      <c r="BB191" s="1831"/>
      <c r="BC191" s="1831"/>
      <c r="BD191" s="1831"/>
      <c r="BE191" s="1831"/>
      <c r="BF191" s="1831"/>
      <c r="BG191" s="1644"/>
    </row>
    <row customHeight="1" ht="20.25">
      <c r="A192" s="1175" t="s">
        <v>1036</v>
      </c>
      <c r="B192" s="1175"/>
      <c r="C192" s="1175"/>
      <c r="D192" s="1169"/>
      <c r="E192" s="1179"/>
      <c r="F192" s="1837"/>
      <c r="G192" s="1838"/>
      <c r="H192" s="2543" t="s">
        <v>1159</v>
      </c>
      <c r="I192" s="2544"/>
      <c r="J192" s="2513"/>
      <c r="K192" s="2545"/>
      <c r="L192" s="2135"/>
      <c r="M192" s="2136"/>
      <c r="N192" s="2536"/>
      <c r="O192" s="2537">
        <v>1</v>
      </c>
      <c r="P192" s="2538" t="s">
        <v>63</v>
      </c>
      <c r="Q192" s="2725" t="s">
        <v>1112</v>
      </c>
      <c r="R192" s="2726" t="s">
        <v>1076</v>
      </c>
      <c r="S192" s="2726" t="s">
        <v>106</v>
      </c>
      <c r="T192" s="2726" t="s">
        <v>106</v>
      </c>
      <c r="U192" s="2726" t="s">
        <v>107</v>
      </c>
      <c r="V192" s="2726" t="s">
        <v>1077</v>
      </c>
      <c r="W192" s="2726" t="s">
        <v>1078</v>
      </c>
      <c r="X192" s="2726" t="s">
        <v>1113</v>
      </c>
      <c r="Y192" s="2726" t="s">
        <v>1114</v>
      </c>
      <c r="Z192" s="1184"/>
      <c r="AA192" s="1185"/>
      <c r="AB192" s="1185"/>
      <c r="AC192" s="1189"/>
      <c r="AD192" s="1189"/>
      <c r="AE192" s="1190"/>
      <c r="AF192" s="2534"/>
      <c r="AG192" s="2535"/>
      <c r="AH192" s="2535"/>
      <c r="AI192" s="2724"/>
      <c r="AJ192" s="2535"/>
      <c r="AK192" s="2535"/>
      <c r="AL192" s="1994"/>
      <c r="AM192" s="1831"/>
      <c r="AN192" s="1831"/>
      <c r="AO192" s="1831"/>
      <c r="AP192" s="1831"/>
      <c r="AQ192" s="1831"/>
      <c r="AR192" s="1831"/>
      <c r="AS192" s="1831"/>
      <c r="AT192" s="1831"/>
      <c r="AU192" s="1831"/>
      <c r="AV192" s="1831"/>
      <c r="AW192" s="1831"/>
      <c r="AX192" s="1831"/>
      <c r="AY192" s="1831"/>
      <c r="AZ192" s="1831"/>
      <c r="BA192" s="1831"/>
      <c r="BB192" s="1831"/>
      <c r="BC192" s="1831"/>
      <c r="BD192" s="1831"/>
      <c r="BE192" s="1831"/>
      <c r="BF192" s="1831"/>
      <c r="BG192" s="1644"/>
    </row>
    <row customHeight="1" ht="50.25">
      <c r="A193" s="1175" t="s">
        <v>1036</v>
      </c>
      <c r="B193" s="1175"/>
      <c r="C193" s="1175"/>
      <c r="D193" s="1169"/>
      <c r="E193" s="1179"/>
      <c r="F193" s="1837"/>
      <c r="G193" s="1838"/>
      <c r="H193" s="2543" t="s">
        <v>1159</v>
      </c>
      <c r="I193" s="2544"/>
      <c r="J193" s="2513"/>
      <c r="K193" s="2545"/>
      <c r="L193" s="2135"/>
      <c r="M193" s="2136"/>
      <c r="N193" s="2536"/>
      <c r="O193" s="2537"/>
      <c r="P193" s="2539"/>
      <c r="Q193" s="2725"/>
      <c r="R193" s="2541"/>
      <c r="S193" s="2542"/>
      <c r="T193" s="2541"/>
      <c r="U193" s="2541"/>
      <c r="V193" s="2541"/>
      <c r="W193" s="2541"/>
      <c r="X193" s="2541"/>
      <c r="Y193" s="2541"/>
      <c r="Z193" s="1836"/>
      <c r="AA193" s="1802">
        <v>1</v>
      </c>
      <c r="AB193" s="1188" t="s">
        <v>1164</v>
      </c>
      <c r="AC193" s="1178">
        <v>13050</v>
      </c>
      <c r="AD193" s="1188" t="str">
        <f>AB193</f>
        <v>  За счет платы за технологическое присоединение</v>
      </c>
      <c r="AE193" s="1178">
        <v>13083.9</v>
      </c>
      <c r="AF193" s="2534"/>
      <c r="AG193" s="2535"/>
      <c r="AH193" s="2535"/>
      <c r="AI193" s="2724"/>
      <c r="AJ193" s="2535"/>
      <c r="AK193" s="2535"/>
      <c r="AL193" s="1994"/>
      <c r="AM193" s="1831"/>
      <c r="AN193" s="1831"/>
      <c r="AO193" s="1831"/>
      <c r="AP193" s="1831"/>
      <c r="AQ193" s="1831"/>
      <c r="AR193" s="1831"/>
      <c r="AS193" s="1831"/>
      <c r="AT193" s="1831"/>
      <c r="AU193" s="1831"/>
      <c r="AV193" s="1831"/>
      <c r="AW193" s="1831"/>
      <c r="AX193" s="1831"/>
      <c r="AY193" s="1831"/>
      <c r="AZ193" s="1831"/>
      <c r="BA193" s="1831"/>
      <c r="BB193" s="1831"/>
      <c r="BC193" s="1831"/>
      <c r="BD193" s="1831"/>
      <c r="BE193" s="1831"/>
      <c r="BF193" s="1831"/>
      <c r="BG193" s="1644"/>
    </row>
    <row customHeight="1" ht="11.25">
      <c r="A194" s="1175" t="s">
        <v>1036</v>
      </c>
      <c r="B194" s="1175"/>
      <c r="C194" s="1175"/>
      <c r="D194" s="1169"/>
      <c r="E194" s="1179"/>
      <c r="F194" s="1837"/>
      <c r="G194" s="1838"/>
      <c r="H194" s="2543" t="s">
        <v>1159</v>
      </c>
      <c r="I194" s="2544"/>
      <c r="J194" s="2513"/>
      <c r="K194" s="2545"/>
      <c r="L194" s="2135"/>
      <c r="M194" s="2136"/>
      <c r="N194" s="2536"/>
      <c r="O194" s="2537"/>
      <c r="P194" s="2540"/>
      <c r="Q194" s="2725"/>
      <c r="R194" s="2541"/>
      <c r="S194" s="2542"/>
      <c r="T194" s="2541"/>
      <c r="U194" s="2541"/>
      <c r="V194" s="2541"/>
      <c r="W194" s="2541"/>
      <c r="X194" s="2541"/>
      <c r="Y194" s="2541"/>
      <c r="Z194" s="1184"/>
      <c r="AA194" s="1185"/>
      <c r="AB194" s="1250" t="s">
        <v>1082</v>
      </c>
      <c r="AC194" s="1189"/>
      <c r="AD194" s="1189"/>
      <c r="AE194" s="1191"/>
      <c r="AF194" s="2534"/>
      <c r="AG194" s="2535"/>
      <c r="AH194" s="2535"/>
      <c r="AI194" s="2724"/>
      <c r="AJ194" s="2535"/>
      <c r="AK194" s="2535"/>
      <c r="AL194" s="1994"/>
      <c r="AM194" s="1831"/>
      <c r="AN194" s="1831"/>
      <c r="AO194" s="1831"/>
      <c r="AP194" s="1831"/>
      <c r="AQ194" s="1831"/>
      <c r="AR194" s="1831"/>
      <c r="AS194" s="1831"/>
      <c r="AT194" s="1831"/>
      <c r="AU194" s="1831"/>
      <c r="AV194" s="1831"/>
      <c r="AW194" s="1831"/>
      <c r="AX194" s="1831"/>
      <c r="AY194" s="1831"/>
      <c r="AZ194" s="1831"/>
      <c r="BA194" s="1831"/>
      <c r="BB194" s="1831"/>
      <c r="BC194" s="1831"/>
      <c r="BD194" s="1831"/>
      <c r="BE194" s="1831"/>
      <c r="BF194" s="1831"/>
      <c r="BG194" s="1644"/>
    </row>
    <row customHeight="1" ht="11.25">
      <c r="A195" s="1175" t="s">
        <v>1036</v>
      </c>
      <c r="B195" s="1175"/>
      <c r="C195" s="1175"/>
      <c r="D195" s="1169"/>
      <c r="E195" s="1179"/>
      <c r="F195" s="1837"/>
      <c r="G195" s="1838"/>
      <c r="H195" s="2543" t="s">
        <v>1159</v>
      </c>
      <c r="I195" s="2544"/>
      <c r="J195" s="2513"/>
      <c r="K195" s="2545"/>
      <c r="L195" s="2135"/>
      <c r="M195" s="2136"/>
      <c r="N195" s="1184"/>
      <c r="O195" s="1185"/>
      <c r="P195" s="1177" t="s">
        <v>1083</v>
      </c>
      <c r="Q195" s="1185"/>
      <c r="R195" s="1185"/>
      <c r="S195" s="1185"/>
      <c r="T195" s="1185"/>
      <c r="U195" s="1185"/>
      <c r="V195" s="1185"/>
      <c r="W195" s="1185"/>
      <c r="X195" s="1185"/>
      <c r="Y195" s="1185"/>
      <c r="Z195" s="1185"/>
      <c r="AA195" s="1185"/>
      <c r="AB195" s="1185"/>
      <c r="AC195" s="1185"/>
      <c r="AD195" s="1185"/>
      <c r="AE195" s="1192"/>
      <c r="AF195" s="2534"/>
      <c r="AG195" s="2535"/>
      <c r="AH195" s="2535"/>
      <c r="AI195" s="2724"/>
      <c r="AJ195" s="2535"/>
      <c r="AK195" s="2535"/>
      <c r="AL195" s="1994"/>
      <c r="AM195" s="1831"/>
      <c r="AN195" s="1831"/>
      <c r="AO195" s="1831"/>
      <c r="AP195" s="1831"/>
      <c r="AQ195" s="1831"/>
      <c r="AR195" s="1831"/>
      <c r="AS195" s="1831"/>
      <c r="AT195" s="1831"/>
      <c r="AU195" s="1831"/>
      <c r="AV195" s="1831"/>
      <c r="AW195" s="1831"/>
      <c r="AX195" s="1831"/>
      <c r="AY195" s="1831"/>
      <c r="AZ195" s="1831"/>
      <c r="BA195" s="1831"/>
      <c r="BB195" s="1831"/>
      <c r="BC195" s="1831"/>
      <c r="BD195" s="1831"/>
      <c r="BE195" s="1831"/>
      <c r="BF195" s="1831"/>
      <c r="BG195" s="1644"/>
    </row>
    <row customHeight="1" ht="11.25">
      <c r="A196" s="1175" t="s">
        <v>1036</v>
      </c>
      <c r="B196" s="1175" t="s">
        <v>1165</v>
      </c>
      <c r="C196" s="1175"/>
      <c r="D196" s="1169"/>
      <c r="E196" s="1179"/>
      <c r="F196" s="1837"/>
      <c r="G196" s="692" t="s">
        <v>104</v>
      </c>
      <c r="H196" s="2543" t="s">
        <v>1166</v>
      </c>
      <c r="I196" s="2544" t="s">
        <v>1167</v>
      </c>
      <c r="J196" s="2513" t="s">
        <v>1168</v>
      </c>
      <c r="K196" s="2545" t="s">
        <v>1169</v>
      </c>
      <c r="L196" s="2135" t="s">
        <v>19</v>
      </c>
      <c r="M196" s="2136"/>
      <c r="N196" s="1992"/>
      <c r="O196" s="1186" t="s">
        <v>391</v>
      </c>
      <c r="P196" s="1187"/>
      <c r="Q196" s="1187"/>
      <c r="R196" s="1187"/>
      <c r="S196" s="1187"/>
      <c r="T196" s="1187"/>
      <c r="U196" s="1187"/>
      <c r="V196" s="1187"/>
      <c r="W196" s="1187"/>
      <c r="X196" s="1187"/>
      <c r="Y196" s="1187"/>
      <c r="Z196" s="1187"/>
      <c r="AA196" s="1187"/>
      <c r="AB196" s="1187"/>
      <c r="AC196" s="1187"/>
      <c r="AD196" s="1187"/>
      <c r="AE196" s="1187"/>
      <c r="AF196" s="2534">
        <v>1</v>
      </c>
      <c r="AG196" s="2535" t="s">
        <v>1094</v>
      </c>
      <c r="AH196" s="2535" t="s">
        <v>1085</v>
      </c>
      <c r="AI196" s="2534">
        <v>1</v>
      </c>
      <c r="AJ196" s="2535" t="s">
        <v>1095</v>
      </c>
      <c r="AK196" s="2535" t="s">
        <v>1085</v>
      </c>
      <c r="AL196" s="1994"/>
      <c r="AM196" s="1831"/>
      <c r="AN196" s="1831"/>
      <c r="AO196" s="1831"/>
      <c r="AP196" s="1831"/>
      <c r="AQ196" s="1831"/>
      <c r="AR196" s="1831"/>
      <c r="AS196" s="1831"/>
      <c r="AT196" s="1831"/>
      <c r="AU196" s="1831"/>
      <c r="AV196" s="1831"/>
      <c r="AW196" s="1831"/>
      <c r="AX196" s="1831"/>
      <c r="AY196" s="1831"/>
      <c r="AZ196" s="1831"/>
      <c r="BA196" s="1831"/>
      <c r="BB196" s="1831"/>
      <c r="BC196" s="1831"/>
      <c r="BD196" s="1831"/>
      <c r="BE196" s="1831"/>
      <c r="BF196" s="1831"/>
      <c r="BG196" s="1644"/>
    </row>
    <row customHeight="1" ht="11.25">
      <c r="A197" s="1175" t="s">
        <v>1036</v>
      </c>
      <c r="B197" s="1175"/>
      <c r="C197" s="1175"/>
      <c r="D197" s="1169"/>
      <c r="E197" s="1179"/>
      <c r="F197" s="1837"/>
      <c r="G197" s="1838"/>
      <c r="H197" s="2543" t="s">
        <v>1161</v>
      </c>
      <c r="I197" s="2544"/>
      <c r="J197" s="2513"/>
      <c r="K197" s="2545"/>
      <c r="L197" s="2135"/>
      <c r="M197" s="2136"/>
      <c r="N197" s="2536"/>
      <c r="O197" s="2537">
        <v>1</v>
      </c>
      <c r="P197" s="2538" t="s">
        <v>63</v>
      </c>
      <c r="Q197" s="2725" t="s">
        <v>1075</v>
      </c>
      <c r="R197" s="2726" t="s">
        <v>1076</v>
      </c>
      <c r="S197" s="2726" t="s">
        <v>106</v>
      </c>
      <c r="T197" s="2726" t="s">
        <v>106</v>
      </c>
      <c r="U197" s="2726" t="s">
        <v>107</v>
      </c>
      <c r="V197" s="2726" t="s">
        <v>1077</v>
      </c>
      <c r="W197" s="2726" t="s">
        <v>1078</v>
      </c>
      <c r="X197" s="2726" t="s">
        <v>1079</v>
      </c>
      <c r="Y197" s="2726" t="s">
        <v>1080</v>
      </c>
      <c r="Z197" s="1184"/>
      <c r="AA197" s="1185"/>
      <c r="AB197" s="1185"/>
      <c r="AC197" s="1189"/>
      <c r="AD197" s="1189"/>
      <c r="AE197" s="1190"/>
      <c r="AF197" s="2534"/>
      <c r="AG197" s="2535"/>
      <c r="AH197" s="2535"/>
      <c r="AI197" s="2534"/>
      <c r="AJ197" s="2535"/>
      <c r="AK197" s="2535"/>
      <c r="AL197" s="1994"/>
      <c r="AM197" s="1831"/>
      <c r="AN197" s="1831"/>
      <c r="AO197" s="1831"/>
      <c r="AP197" s="1831"/>
      <c r="AQ197" s="1831"/>
      <c r="AR197" s="1831"/>
      <c r="AS197" s="1831"/>
      <c r="AT197" s="1831"/>
      <c r="AU197" s="1831"/>
      <c r="AV197" s="1831"/>
      <c r="AW197" s="1831"/>
      <c r="AX197" s="1831"/>
      <c r="AY197" s="1831"/>
      <c r="AZ197" s="1831"/>
      <c r="BA197" s="1831"/>
      <c r="BB197" s="1831"/>
      <c r="BC197" s="1831"/>
      <c r="BD197" s="1831"/>
      <c r="BE197" s="1831"/>
      <c r="BF197" s="1831"/>
      <c r="BG197" s="1644"/>
    </row>
    <row customHeight="1" ht="11.25">
      <c r="A198" s="1175" t="s">
        <v>1036</v>
      </c>
      <c r="B198" s="1175"/>
      <c r="C198" s="1175"/>
      <c r="D198" s="1169"/>
      <c r="E198" s="1179"/>
      <c r="F198" s="1837"/>
      <c r="G198" s="1838"/>
      <c r="H198" s="2543" t="s">
        <v>1161</v>
      </c>
      <c r="I198" s="2544"/>
      <c r="J198" s="2513"/>
      <c r="K198" s="2545"/>
      <c r="L198" s="2135"/>
      <c r="M198" s="2136"/>
      <c r="N198" s="2536"/>
      <c r="O198" s="2537"/>
      <c r="P198" s="2539"/>
      <c r="Q198" s="2725"/>
      <c r="R198" s="2541"/>
      <c r="S198" s="2542"/>
      <c r="T198" s="2541"/>
      <c r="U198" s="2541"/>
      <c r="V198" s="2541"/>
      <c r="W198" s="2541"/>
      <c r="X198" s="2541"/>
      <c r="Y198" s="2541"/>
      <c r="Z198" s="1836"/>
      <c r="AA198" s="1802">
        <v>1</v>
      </c>
      <c r="AB198" s="1188" t="s">
        <v>1091</v>
      </c>
      <c r="AC198" s="1178">
        <v>12793.08</v>
      </c>
      <c r="AD198" s="1188" t="str">
        <f>AB198</f>
        <v>  Прочие собственные средства</v>
      </c>
      <c r="AE198" s="1178">
        <v>12793.08</v>
      </c>
      <c r="AF198" s="2534"/>
      <c r="AG198" s="2535"/>
      <c r="AH198" s="2535"/>
      <c r="AI198" s="2534"/>
      <c r="AJ198" s="2535"/>
      <c r="AK198" s="2535"/>
      <c r="AL198" s="1994"/>
      <c r="AM198" s="1831"/>
      <c r="AN198" s="1831"/>
      <c r="AO198" s="1831"/>
      <c r="AP198" s="1831"/>
      <c r="AQ198" s="1831"/>
      <c r="AR198" s="1831"/>
      <c r="AS198" s="1831"/>
      <c r="AT198" s="1831"/>
      <c r="AU198" s="1831"/>
      <c r="AV198" s="1831"/>
      <c r="AW198" s="1831"/>
      <c r="AX198" s="1831"/>
      <c r="AY198" s="1831"/>
      <c r="AZ198" s="1831"/>
      <c r="BA198" s="1831"/>
      <c r="BB198" s="1831"/>
      <c r="BC198" s="1831"/>
      <c r="BD198" s="1831"/>
      <c r="BE198" s="1831"/>
      <c r="BF198" s="1831"/>
      <c r="BG198" s="1644"/>
    </row>
    <row customHeight="1" ht="11.25">
      <c r="A199" s="1175" t="s">
        <v>1036</v>
      </c>
      <c r="B199" s="1175"/>
      <c r="C199" s="1175"/>
      <c r="D199" s="1169"/>
      <c r="E199" s="1179"/>
      <c r="F199" s="1837"/>
      <c r="G199" s="1838"/>
      <c r="H199" s="2543" t="s">
        <v>1161</v>
      </c>
      <c r="I199" s="2544"/>
      <c r="J199" s="2513"/>
      <c r="K199" s="2545"/>
      <c r="L199" s="2135"/>
      <c r="M199" s="2136"/>
      <c r="N199" s="2536"/>
      <c r="O199" s="2537"/>
      <c r="P199" s="2540"/>
      <c r="Q199" s="2725"/>
      <c r="R199" s="2541"/>
      <c r="S199" s="2542"/>
      <c r="T199" s="2541"/>
      <c r="U199" s="2541"/>
      <c r="V199" s="2541"/>
      <c r="W199" s="2541"/>
      <c r="X199" s="2541"/>
      <c r="Y199" s="2541"/>
      <c r="Z199" s="1184"/>
      <c r="AA199" s="1185"/>
      <c r="AB199" s="1250" t="s">
        <v>1082</v>
      </c>
      <c r="AC199" s="1189"/>
      <c r="AD199" s="1189"/>
      <c r="AE199" s="1191"/>
      <c r="AF199" s="2534"/>
      <c r="AG199" s="2535"/>
      <c r="AH199" s="2535"/>
      <c r="AI199" s="2534"/>
      <c r="AJ199" s="2535"/>
      <c r="AK199" s="2535"/>
      <c r="AL199" s="1994"/>
      <c r="AM199" s="1831"/>
      <c r="AN199" s="1831"/>
      <c r="AO199" s="1831"/>
      <c r="AP199" s="1831"/>
      <c r="AQ199" s="1831"/>
      <c r="AR199" s="1831"/>
      <c r="AS199" s="1831"/>
      <c r="AT199" s="1831"/>
      <c r="AU199" s="1831"/>
      <c r="AV199" s="1831"/>
      <c r="AW199" s="1831"/>
      <c r="AX199" s="1831"/>
      <c r="AY199" s="1831"/>
      <c r="AZ199" s="1831"/>
      <c r="BA199" s="1831"/>
      <c r="BB199" s="1831"/>
      <c r="BC199" s="1831"/>
      <c r="BD199" s="1831"/>
      <c r="BE199" s="1831"/>
      <c r="BF199" s="1831"/>
      <c r="BG199" s="1644"/>
    </row>
    <row customHeight="1" ht="11.25">
      <c r="A200" s="1175" t="s">
        <v>1036</v>
      </c>
      <c r="B200" s="1175"/>
      <c r="C200" s="1175"/>
      <c r="D200" s="1169"/>
      <c r="E200" s="1179"/>
      <c r="F200" s="1837"/>
      <c r="G200" s="1838"/>
      <c r="H200" s="2543" t="s">
        <v>1161</v>
      </c>
      <c r="I200" s="2544"/>
      <c r="J200" s="2513"/>
      <c r="K200" s="2545"/>
      <c r="L200" s="2135"/>
      <c r="M200" s="2136"/>
      <c r="N200" s="1184"/>
      <c r="O200" s="1185"/>
      <c r="P200" s="1177" t="s">
        <v>1083</v>
      </c>
      <c r="Q200" s="1185"/>
      <c r="R200" s="1185"/>
      <c r="S200" s="1185"/>
      <c r="T200" s="1185"/>
      <c r="U200" s="1185"/>
      <c r="V200" s="1185"/>
      <c r="W200" s="1185"/>
      <c r="X200" s="1185"/>
      <c r="Y200" s="1185"/>
      <c r="Z200" s="1185"/>
      <c r="AA200" s="1185"/>
      <c r="AB200" s="1185"/>
      <c r="AC200" s="1185"/>
      <c r="AD200" s="1185"/>
      <c r="AE200" s="1192"/>
      <c r="AF200" s="2534"/>
      <c r="AG200" s="2535"/>
      <c r="AH200" s="2535"/>
      <c r="AI200" s="2534"/>
      <c r="AJ200" s="2535"/>
      <c r="AK200" s="2535"/>
      <c r="AL200" s="1994"/>
      <c r="AM200" s="1831"/>
      <c r="AN200" s="1831"/>
      <c r="AO200" s="1831"/>
      <c r="AP200" s="1831"/>
      <c r="AQ200" s="1831"/>
      <c r="AR200" s="1831"/>
      <c r="AS200" s="1831"/>
      <c r="AT200" s="1831"/>
      <c r="AU200" s="1831"/>
      <c r="AV200" s="1831"/>
      <c r="AW200" s="1831"/>
      <c r="AX200" s="1831"/>
      <c r="AY200" s="1831"/>
      <c r="AZ200" s="1831"/>
      <c r="BA200" s="1831"/>
      <c r="BB200" s="1831"/>
      <c r="BC200" s="1831"/>
      <c r="BD200" s="1831"/>
      <c r="BE200" s="1831"/>
      <c r="BF200" s="1831"/>
      <c r="BG200" s="1644"/>
    </row>
    <row customHeight="1" ht="11.25">
      <c r="A201" s="1175" t="s">
        <v>1036</v>
      </c>
      <c r="B201" s="1175" t="s">
        <v>1165</v>
      </c>
      <c r="C201" s="1175"/>
      <c r="D201" s="1169"/>
      <c r="E201" s="1179"/>
      <c r="F201" s="1837"/>
      <c r="G201" s="692" t="s">
        <v>104</v>
      </c>
      <c r="H201" s="2543" t="s">
        <v>1170</v>
      </c>
      <c r="I201" s="2544" t="s">
        <v>1167</v>
      </c>
      <c r="J201" s="2513" t="s">
        <v>1168</v>
      </c>
      <c r="K201" s="2545" t="s">
        <v>1171</v>
      </c>
      <c r="L201" s="2135" t="s">
        <v>19</v>
      </c>
      <c r="M201" s="2136"/>
      <c r="N201" s="1992"/>
      <c r="O201" s="1186" t="s">
        <v>391</v>
      </c>
      <c r="P201" s="1187"/>
      <c r="Q201" s="1187"/>
      <c r="R201" s="1187"/>
      <c r="S201" s="1187"/>
      <c r="T201" s="1187"/>
      <c r="U201" s="1187"/>
      <c r="V201" s="1187"/>
      <c r="W201" s="1187"/>
      <c r="X201" s="1187"/>
      <c r="Y201" s="1187"/>
      <c r="Z201" s="1187"/>
      <c r="AA201" s="1187"/>
      <c r="AB201" s="1187"/>
      <c r="AC201" s="1187"/>
      <c r="AD201" s="1187"/>
      <c r="AE201" s="1187"/>
      <c r="AF201" s="2534">
        <v>1</v>
      </c>
      <c r="AG201" s="2535" t="s">
        <v>1094</v>
      </c>
      <c r="AH201" s="2535" t="s">
        <v>1085</v>
      </c>
      <c r="AI201" s="2534">
        <v>1</v>
      </c>
      <c r="AJ201" s="2535" t="s">
        <v>1095</v>
      </c>
      <c r="AK201" s="2535" t="s">
        <v>1085</v>
      </c>
      <c r="AL201" s="1994"/>
      <c r="AM201" s="1831"/>
      <c r="AN201" s="1831"/>
      <c r="AO201" s="1831"/>
      <c r="AP201" s="1831"/>
      <c r="AQ201" s="1831"/>
      <c r="AR201" s="1831"/>
      <c r="AS201" s="1831"/>
      <c r="AT201" s="1831"/>
      <c r="AU201" s="1831"/>
      <c r="AV201" s="1831"/>
      <c r="AW201" s="1831"/>
      <c r="AX201" s="1831"/>
      <c r="AY201" s="1831"/>
      <c r="AZ201" s="1831"/>
      <c r="BA201" s="1831"/>
      <c r="BB201" s="1831"/>
      <c r="BC201" s="1831"/>
      <c r="BD201" s="1831"/>
      <c r="BE201" s="1831"/>
      <c r="BF201" s="1831"/>
      <c r="BG201" s="1644"/>
    </row>
    <row customHeight="1" ht="11.25">
      <c r="A202" s="1175" t="s">
        <v>1036</v>
      </c>
      <c r="B202" s="1175"/>
      <c r="C202" s="1175"/>
      <c r="D202" s="1169"/>
      <c r="E202" s="1179"/>
      <c r="F202" s="1837"/>
      <c r="G202" s="1838"/>
      <c r="H202" s="2543" t="s">
        <v>1166</v>
      </c>
      <c r="I202" s="2544"/>
      <c r="J202" s="2513"/>
      <c r="K202" s="2545"/>
      <c r="L202" s="2135"/>
      <c r="M202" s="2136"/>
      <c r="N202" s="2536"/>
      <c r="O202" s="2537">
        <v>1</v>
      </c>
      <c r="P202" s="2538" t="s">
        <v>63</v>
      </c>
      <c r="Q202" s="2725" t="s">
        <v>1075</v>
      </c>
      <c r="R202" s="2726" t="s">
        <v>1076</v>
      </c>
      <c r="S202" s="2726" t="s">
        <v>106</v>
      </c>
      <c r="T202" s="2726" t="s">
        <v>106</v>
      </c>
      <c r="U202" s="2726" t="s">
        <v>107</v>
      </c>
      <c r="V202" s="2726" t="s">
        <v>1077</v>
      </c>
      <c r="W202" s="2726" t="s">
        <v>1078</v>
      </c>
      <c r="X202" s="2726" t="s">
        <v>1079</v>
      </c>
      <c r="Y202" s="2726" t="s">
        <v>1080</v>
      </c>
      <c r="Z202" s="1184"/>
      <c r="AA202" s="1185"/>
      <c r="AB202" s="1185"/>
      <c r="AC202" s="1189"/>
      <c r="AD202" s="1189"/>
      <c r="AE202" s="1190"/>
      <c r="AF202" s="2534"/>
      <c r="AG202" s="2535"/>
      <c r="AH202" s="2535"/>
      <c r="AI202" s="2534"/>
      <c r="AJ202" s="2535"/>
      <c r="AK202" s="2535"/>
      <c r="AL202" s="1994"/>
      <c r="AM202" s="1831"/>
      <c r="AN202" s="1831"/>
      <c r="AO202" s="1831"/>
      <c r="AP202" s="1831"/>
      <c r="AQ202" s="1831"/>
      <c r="AR202" s="1831"/>
      <c r="AS202" s="1831"/>
      <c r="AT202" s="1831"/>
      <c r="AU202" s="1831"/>
      <c r="AV202" s="1831"/>
      <c r="AW202" s="1831"/>
      <c r="AX202" s="1831"/>
      <c r="AY202" s="1831"/>
      <c r="AZ202" s="1831"/>
      <c r="BA202" s="1831"/>
      <c r="BB202" s="1831"/>
      <c r="BC202" s="1831"/>
      <c r="BD202" s="1831"/>
      <c r="BE202" s="1831"/>
      <c r="BF202" s="1831"/>
      <c r="BG202" s="1644"/>
    </row>
    <row customHeight="1" ht="11.25">
      <c r="A203" s="1175" t="s">
        <v>1036</v>
      </c>
      <c r="B203" s="1175"/>
      <c r="C203" s="1175"/>
      <c r="D203" s="1169"/>
      <c r="E203" s="1179"/>
      <c r="F203" s="1837"/>
      <c r="G203" s="1838"/>
      <c r="H203" s="2543" t="s">
        <v>1166</v>
      </c>
      <c r="I203" s="2544"/>
      <c r="J203" s="2513"/>
      <c r="K203" s="2545"/>
      <c r="L203" s="2135"/>
      <c r="M203" s="2136"/>
      <c r="N203" s="2536"/>
      <c r="O203" s="2537"/>
      <c r="P203" s="2539"/>
      <c r="Q203" s="2725"/>
      <c r="R203" s="2541"/>
      <c r="S203" s="2542"/>
      <c r="T203" s="2541"/>
      <c r="U203" s="2541"/>
      <c r="V203" s="2541"/>
      <c r="W203" s="2541"/>
      <c r="X203" s="2541"/>
      <c r="Y203" s="2541"/>
      <c r="Z203" s="1836"/>
      <c r="AA203" s="1802">
        <v>1</v>
      </c>
      <c r="AB203" s="1188" t="s">
        <v>1091</v>
      </c>
      <c r="AC203" s="1178">
        <v>3413.89</v>
      </c>
      <c r="AD203" s="1188" t="str">
        <f>AB203</f>
        <v>  Прочие собственные средства</v>
      </c>
      <c r="AE203" s="1178">
        <v>3413.89</v>
      </c>
      <c r="AF203" s="2534"/>
      <c r="AG203" s="2535"/>
      <c r="AH203" s="2535"/>
      <c r="AI203" s="2534"/>
      <c r="AJ203" s="2535"/>
      <c r="AK203" s="2535"/>
      <c r="AL203" s="1994"/>
      <c r="AM203" s="1831"/>
      <c r="AN203" s="1831"/>
      <c r="AO203" s="1831"/>
      <c r="AP203" s="1831"/>
      <c r="AQ203" s="1831"/>
      <c r="AR203" s="1831"/>
      <c r="AS203" s="1831"/>
      <c r="AT203" s="1831"/>
      <c r="AU203" s="1831"/>
      <c r="AV203" s="1831"/>
      <c r="AW203" s="1831"/>
      <c r="AX203" s="1831"/>
      <c r="AY203" s="1831"/>
      <c r="AZ203" s="1831"/>
      <c r="BA203" s="1831"/>
      <c r="BB203" s="1831"/>
      <c r="BC203" s="1831"/>
      <c r="BD203" s="1831"/>
      <c r="BE203" s="1831"/>
      <c r="BF203" s="1831"/>
      <c r="BG203" s="1644"/>
    </row>
    <row customHeight="1" ht="11.25">
      <c r="A204" s="1175" t="s">
        <v>1036</v>
      </c>
      <c r="B204" s="1175"/>
      <c r="C204" s="1175"/>
      <c r="D204" s="1169"/>
      <c r="E204" s="1179"/>
      <c r="F204" s="1837"/>
      <c r="G204" s="1838"/>
      <c r="H204" s="2543" t="s">
        <v>1166</v>
      </c>
      <c r="I204" s="2544"/>
      <c r="J204" s="2513"/>
      <c r="K204" s="2545"/>
      <c r="L204" s="2135"/>
      <c r="M204" s="2136"/>
      <c r="N204" s="2536"/>
      <c r="O204" s="2537"/>
      <c r="P204" s="2540"/>
      <c r="Q204" s="2725"/>
      <c r="R204" s="2541"/>
      <c r="S204" s="2542"/>
      <c r="T204" s="2541"/>
      <c r="U204" s="2541"/>
      <c r="V204" s="2541"/>
      <c r="W204" s="2541"/>
      <c r="X204" s="2541"/>
      <c r="Y204" s="2541"/>
      <c r="Z204" s="1184"/>
      <c r="AA204" s="1185"/>
      <c r="AB204" s="1250" t="s">
        <v>1082</v>
      </c>
      <c r="AC204" s="1189"/>
      <c r="AD204" s="1189"/>
      <c r="AE204" s="1191"/>
      <c r="AF204" s="2534"/>
      <c r="AG204" s="2535"/>
      <c r="AH204" s="2535"/>
      <c r="AI204" s="2534"/>
      <c r="AJ204" s="2535"/>
      <c r="AK204" s="2535"/>
      <c r="AL204" s="1994"/>
      <c r="AM204" s="1831"/>
      <c r="AN204" s="1831"/>
      <c r="AO204" s="1831"/>
      <c r="AP204" s="1831"/>
      <c r="AQ204" s="1831"/>
      <c r="AR204" s="1831"/>
      <c r="AS204" s="1831"/>
      <c r="AT204" s="1831"/>
      <c r="AU204" s="1831"/>
      <c r="AV204" s="1831"/>
      <c r="AW204" s="1831"/>
      <c r="AX204" s="1831"/>
      <c r="AY204" s="1831"/>
      <c r="AZ204" s="1831"/>
      <c r="BA204" s="1831"/>
      <c r="BB204" s="1831"/>
      <c r="BC204" s="1831"/>
      <c r="BD204" s="1831"/>
      <c r="BE204" s="1831"/>
      <c r="BF204" s="1831"/>
      <c r="BG204" s="1644"/>
    </row>
    <row customHeight="1" ht="11.25">
      <c r="A205" s="1175" t="s">
        <v>1036</v>
      </c>
      <c r="B205" s="1175"/>
      <c r="C205" s="1175"/>
      <c r="D205" s="1169"/>
      <c r="E205" s="1179"/>
      <c r="F205" s="1837"/>
      <c r="G205" s="1838"/>
      <c r="H205" s="2543" t="s">
        <v>1166</v>
      </c>
      <c r="I205" s="2544"/>
      <c r="J205" s="2513"/>
      <c r="K205" s="2545"/>
      <c r="L205" s="2135"/>
      <c r="M205" s="2136"/>
      <c r="N205" s="1184"/>
      <c r="O205" s="1185"/>
      <c r="P205" s="1177" t="s">
        <v>1083</v>
      </c>
      <c r="Q205" s="1185"/>
      <c r="R205" s="1185"/>
      <c r="S205" s="1185"/>
      <c r="T205" s="1185"/>
      <c r="U205" s="1185"/>
      <c r="V205" s="1185"/>
      <c r="W205" s="1185"/>
      <c r="X205" s="1185"/>
      <c r="Y205" s="1185"/>
      <c r="Z205" s="1185"/>
      <c r="AA205" s="1185"/>
      <c r="AB205" s="1185"/>
      <c r="AC205" s="1185"/>
      <c r="AD205" s="1185"/>
      <c r="AE205" s="1192"/>
      <c r="AF205" s="2534"/>
      <c r="AG205" s="2535"/>
      <c r="AH205" s="2535"/>
      <c r="AI205" s="2534"/>
      <c r="AJ205" s="2535"/>
      <c r="AK205" s="2535"/>
      <c r="AL205" s="1994"/>
      <c r="AM205" s="1831"/>
      <c r="AN205" s="1831"/>
      <c r="AO205" s="1831"/>
      <c r="AP205" s="1831"/>
      <c r="AQ205" s="1831"/>
      <c r="AR205" s="1831"/>
      <c r="AS205" s="1831"/>
      <c r="AT205" s="1831"/>
      <c r="AU205" s="1831"/>
      <c r="AV205" s="1831"/>
      <c r="AW205" s="1831"/>
      <c r="AX205" s="1831"/>
      <c r="AY205" s="1831"/>
      <c r="AZ205" s="1831"/>
      <c r="BA205" s="1831"/>
      <c r="BB205" s="1831"/>
      <c r="BC205" s="1831"/>
      <c r="BD205" s="1831"/>
      <c r="BE205" s="1831"/>
      <c r="BF205" s="1831"/>
      <c r="BG205" s="1644"/>
    </row>
    <row customHeight="1" ht="11.25">
      <c r="A206" s="1175" t="s">
        <v>1036</v>
      </c>
      <c r="B206" s="1175" t="s">
        <v>1165</v>
      </c>
      <c r="C206" s="1175"/>
      <c r="D206" s="1169"/>
      <c r="E206" s="1179"/>
      <c r="F206" s="1837"/>
      <c r="G206" s="692" t="s">
        <v>104</v>
      </c>
      <c r="H206" s="2543" t="s">
        <v>1172</v>
      </c>
      <c r="I206" s="2544" t="s">
        <v>1167</v>
      </c>
      <c r="J206" s="2513" t="s">
        <v>1173</v>
      </c>
      <c r="K206" s="2545" t="s">
        <v>1174</v>
      </c>
      <c r="L206" s="2135" t="s">
        <v>19</v>
      </c>
      <c r="M206" s="2136"/>
      <c r="N206" s="1992"/>
      <c r="O206" s="1186" t="s">
        <v>391</v>
      </c>
      <c r="P206" s="1187"/>
      <c r="Q206" s="1187"/>
      <c r="R206" s="1187"/>
      <c r="S206" s="1187"/>
      <c r="T206" s="1187"/>
      <c r="U206" s="1187"/>
      <c r="V206" s="1187"/>
      <c r="W206" s="1187"/>
      <c r="X206" s="1187"/>
      <c r="Y206" s="1187"/>
      <c r="Z206" s="1187"/>
      <c r="AA206" s="1187"/>
      <c r="AB206" s="1187"/>
      <c r="AC206" s="1187"/>
      <c r="AD206" s="1187"/>
      <c r="AE206" s="1187"/>
      <c r="AF206" s="2534">
        <v>2</v>
      </c>
      <c r="AG206" s="2535" t="s">
        <v>1094</v>
      </c>
      <c r="AH206" s="2535" t="s">
        <v>1073</v>
      </c>
      <c r="AI206" s="2724"/>
      <c r="AJ206" s="2535" t="s">
        <v>1074</v>
      </c>
      <c r="AK206" s="2535" t="s">
        <v>1074</v>
      </c>
      <c r="AL206" s="1994"/>
      <c r="AM206" s="1831"/>
      <c r="AN206" s="1831"/>
      <c r="AO206" s="1831"/>
      <c r="AP206" s="1831"/>
      <c r="AQ206" s="1831"/>
      <c r="AR206" s="1831"/>
      <c r="AS206" s="1831"/>
      <c r="AT206" s="1831"/>
      <c r="AU206" s="1831"/>
      <c r="AV206" s="1831"/>
      <c r="AW206" s="1831"/>
      <c r="AX206" s="1831"/>
      <c r="AY206" s="1831"/>
      <c r="AZ206" s="1831"/>
      <c r="BA206" s="1831"/>
      <c r="BB206" s="1831"/>
      <c r="BC206" s="1831"/>
      <c r="BD206" s="1831"/>
      <c r="BE206" s="1831"/>
      <c r="BF206" s="1831"/>
      <c r="BG206" s="1644"/>
    </row>
    <row customHeight="1" ht="11.25">
      <c r="A207" s="1175" t="s">
        <v>1036</v>
      </c>
      <c r="B207" s="1175"/>
      <c r="C207" s="1175"/>
      <c r="D207" s="1169"/>
      <c r="E207" s="1179"/>
      <c r="F207" s="1837"/>
      <c r="G207" s="1838"/>
      <c r="H207" s="2543" t="s">
        <v>1170</v>
      </c>
      <c r="I207" s="2544"/>
      <c r="J207" s="2513"/>
      <c r="K207" s="2545"/>
      <c r="L207" s="2135"/>
      <c r="M207" s="2136"/>
      <c r="N207" s="2536"/>
      <c r="O207" s="2537">
        <v>1</v>
      </c>
      <c r="P207" s="2538" t="s">
        <v>63</v>
      </c>
      <c r="Q207" s="2725" t="s">
        <v>1096</v>
      </c>
      <c r="R207" s="2726" t="s">
        <v>1097</v>
      </c>
      <c r="S207" s="2726" t="s">
        <v>106</v>
      </c>
      <c r="T207" s="2726" t="s">
        <v>106</v>
      </c>
      <c r="U207" s="2726" t="s">
        <v>107</v>
      </c>
      <c r="V207" s="2726" t="s">
        <v>1077</v>
      </c>
      <c r="W207" s="2726" t="s">
        <v>1078</v>
      </c>
      <c r="X207" s="2726" t="s">
        <v>1098</v>
      </c>
      <c r="Y207" s="2726" t="s">
        <v>1099</v>
      </c>
      <c r="Z207" s="1184"/>
      <c r="AA207" s="1185"/>
      <c r="AB207" s="1185"/>
      <c r="AC207" s="1189"/>
      <c r="AD207" s="1189"/>
      <c r="AE207" s="1190"/>
      <c r="AF207" s="2534"/>
      <c r="AG207" s="2535"/>
      <c r="AH207" s="2535"/>
      <c r="AI207" s="2724"/>
      <c r="AJ207" s="2535"/>
      <c r="AK207" s="2535"/>
      <c r="AL207" s="1994"/>
      <c r="AM207" s="1831"/>
      <c r="AN207" s="1831"/>
      <c r="AO207" s="1831"/>
      <c r="AP207" s="1831"/>
      <c r="AQ207" s="1831"/>
      <c r="AR207" s="1831"/>
      <c r="AS207" s="1831"/>
      <c r="AT207" s="1831"/>
      <c r="AU207" s="1831"/>
      <c r="AV207" s="1831"/>
      <c r="AW207" s="1831"/>
      <c r="AX207" s="1831"/>
      <c r="AY207" s="1831"/>
      <c r="AZ207" s="1831"/>
      <c r="BA207" s="1831"/>
      <c r="BB207" s="1831"/>
      <c r="BC207" s="1831"/>
      <c r="BD207" s="1831"/>
      <c r="BE207" s="1831"/>
      <c r="BF207" s="1831"/>
      <c r="BG207" s="1644"/>
    </row>
    <row customHeight="1" ht="31.5">
      <c r="A208" s="1175" t="s">
        <v>1036</v>
      </c>
      <c r="B208" s="1175"/>
      <c r="C208" s="1175"/>
      <c r="D208" s="1169"/>
      <c r="E208" s="1179"/>
      <c r="F208" s="1837"/>
      <c r="G208" s="1838"/>
      <c r="H208" s="2543" t="s">
        <v>1170</v>
      </c>
      <c r="I208" s="2544"/>
      <c r="J208" s="2513"/>
      <c r="K208" s="2545"/>
      <c r="L208" s="2135"/>
      <c r="M208" s="2136"/>
      <c r="N208" s="2536"/>
      <c r="O208" s="2537"/>
      <c r="P208" s="2539"/>
      <c r="Q208" s="2725"/>
      <c r="R208" s="2541"/>
      <c r="S208" s="2542"/>
      <c r="T208" s="2541"/>
      <c r="U208" s="2541"/>
      <c r="V208" s="2541"/>
      <c r="W208" s="2541"/>
      <c r="X208" s="2541"/>
      <c r="Y208" s="2541"/>
      <c r="Z208" s="1836"/>
      <c r="AA208" s="1802">
        <v>1</v>
      </c>
      <c r="AB208" s="1188" t="s">
        <v>1081</v>
      </c>
      <c r="AC208" s="1178">
        <v>11770.86</v>
      </c>
      <c r="AD208" s="1188" t="str">
        <f>AB208</f>
        <v>      Амортизационные отчисления с выделением результатов переоценки основных средств и нематериальных активов</v>
      </c>
      <c r="AE208" s="1178">
        <v>11891.09</v>
      </c>
      <c r="AF208" s="2534"/>
      <c r="AG208" s="2535"/>
      <c r="AH208" s="2535"/>
      <c r="AI208" s="2724"/>
      <c r="AJ208" s="2535"/>
      <c r="AK208" s="2535"/>
      <c r="AL208" s="1994"/>
      <c r="AM208" s="1831"/>
      <c r="AN208" s="1831"/>
      <c r="AO208" s="1831"/>
      <c r="AP208" s="1831"/>
      <c r="AQ208" s="1831"/>
      <c r="AR208" s="1831"/>
      <c r="AS208" s="1831"/>
      <c r="AT208" s="1831"/>
      <c r="AU208" s="1831"/>
      <c r="AV208" s="1831"/>
      <c r="AW208" s="1831"/>
      <c r="AX208" s="1831"/>
      <c r="AY208" s="1831"/>
      <c r="AZ208" s="1831"/>
      <c r="BA208" s="1831"/>
      <c r="BB208" s="1831"/>
      <c r="BC208" s="1831"/>
      <c r="BD208" s="1831"/>
      <c r="BE208" s="1831"/>
      <c r="BF208" s="1831"/>
      <c r="BG208" s="1644"/>
    </row>
    <row customHeight="1" ht="45">
      <c r="A209" s="1175" t="s">
        <v>1036</v>
      </c>
      <c r="B209" s="1175"/>
      <c r="C209" s="1175"/>
      <c r="D209" s="1169"/>
      <c r="E209" s="1179"/>
      <c r="F209" s="1838"/>
      <c r="G209" s="1838"/>
      <c r="H209" s="1838"/>
      <c r="I209" s="1838"/>
      <c r="J209" s="1838"/>
      <c r="K209" s="1838"/>
      <c r="L209" s="1838"/>
      <c r="M209" s="1838"/>
      <c r="N209" s="1838"/>
      <c r="O209" s="1838"/>
      <c r="P209" s="1838"/>
      <c r="Q209" s="1838"/>
      <c r="R209" s="1838"/>
      <c r="S209" s="1838"/>
      <c r="T209" s="1838"/>
      <c r="U209" s="1838"/>
      <c r="V209" s="1838"/>
      <c r="W209" s="1838"/>
      <c r="X209" s="1838"/>
      <c r="Y209" s="1838"/>
      <c r="Z209" s="692" t="s">
        <v>104</v>
      </c>
      <c r="AA209" s="1822" t="s">
        <v>103</v>
      </c>
      <c r="AB209" s="1188" t="s">
        <v>1164</v>
      </c>
      <c r="AC209" s="1178">
        <v>18894.56</v>
      </c>
      <c r="AD209" s="1188" t="str">
        <f>AB209</f>
        <v>  За счет платы за технологическое присоединение</v>
      </c>
      <c r="AE209" s="1178">
        <v>2094.87</v>
      </c>
      <c r="AF209" s="2095"/>
      <c r="AG209" s="1767"/>
      <c r="AH209" s="1767"/>
      <c r="AI209" s="2728"/>
      <c r="AJ209" s="1767"/>
      <c r="AK209" s="1993"/>
      <c r="AL209" s="1994"/>
      <c r="AM209" s="1831"/>
      <c r="AN209" s="1831"/>
      <c r="AO209" s="1831"/>
      <c r="AP209" s="1831"/>
      <c r="AQ209" s="1831"/>
      <c r="AR209" s="1831"/>
      <c r="AS209" s="1831"/>
      <c r="AT209" s="1831"/>
      <c r="AU209" s="1831"/>
      <c r="AV209" s="1831"/>
      <c r="AW209" s="1831"/>
      <c r="AX209" s="1831"/>
      <c r="AY209" s="1831"/>
      <c r="AZ209" s="1831"/>
      <c r="BA209" s="1831"/>
      <c r="BB209" s="1831"/>
      <c r="BC209" s="1831"/>
      <c r="BD209" s="1831"/>
      <c r="BE209" s="1831"/>
      <c r="BF209" s="1831"/>
      <c r="BG209" s="1644"/>
    </row>
    <row customHeight="1" ht="11.25">
      <c r="A210" s="1175" t="s">
        <v>1036</v>
      </c>
      <c r="B210" s="1175"/>
      <c r="C210" s="1175"/>
      <c r="D210" s="1169"/>
      <c r="E210" s="1179"/>
      <c r="F210" s="1838"/>
      <c r="G210" s="1838"/>
      <c r="H210" s="1838"/>
      <c r="I210" s="1838"/>
      <c r="J210" s="1838"/>
      <c r="K210" s="1838"/>
      <c r="L210" s="1838"/>
      <c r="M210" s="1838"/>
      <c r="N210" s="1838"/>
      <c r="O210" s="1838"/>
      <c r="P210" s="1838"/>
      <c r="Q210" s="1838"/>
      <c r="R210" s="1838"/>
      <c r="S210" s="1838"/>
      <c r="T210" s="1838"/>
      <c r="U210" s="1838"/>
      <c r="V210" s="1838"/>
      <c r="W210" s="1838"/>
      <c r="X210" s="1838"/>
      <c r="Y210" s="1838"/>
      <c r="Z210" s="692" t="s">
        <v>104</v>
      </c>
      <c r="AA210" s="1822" t="s">
        <v>91</v>
      </c>
      <c r="AB210" s="1188" t="s">
        <v>1091</v>
      </c>
      <c r="AC210" s="1178">
        <v>48552.78</v>
      </c>
      <c r="AD210" s="1188" t="str">
        <f>AB210</f>
        <v>  Прочие собственные средства</v>
      </c>
      <c r="AE210" s="1178">
        <v>46862.3</v>
      </c>
      <c r="AF210" s="2095"/>
      <c r="AG210" s="1767"/>
      <c r="AH210" s="1767"/>
      <c r="AI210" s="2728"/>
      <c r="AJ210" s="1767"/>
      <c r="AK210" s="1993"/>
      <c r="AL210" s="1994"/>
      <c r="AM210" s="1831"/>
      <c r="AN210" s="1831"/>
      <c r="AO210" s="1831"/>
      <c r="AP210" s="1831"/>
      <c r="AQ210" s="1831"/>
      <c r="AR210" s="1831"/>
      <c r="AS210" s="1831"/>
      <c r="AT210" s="1831"/>
      <c r="AU210" s="1831"/>
      <c r="AV210" s="1831"/>
      <c r="AW210" s="1831"/>
      <c r="AX210" s="1831"/>
      <c r="AY210" s="1831"/>
      <c r="AZ210" s="1831"/>
      <c r="BA210" s="1831"/>
      <c r="BB210" s="1831"/>
      <c r="BC210" s="1831"/>
      <c r="BD210" s="1831"/>
      <c r="BE210" s="1831"/>
      <c r="BF210" s="1831"/>
      <c r="BG210" s="1644"/>
    </row>
    <row customHeight="1" ht="11.25">
      <c r="A211" s="1175" t="s">
        <v>1036</v>
      </c>
      <c r="B211" s="1175"/>
      <c r="C211" s="1175"/>
      <c r="D211" s="1169"/>
      <c r="E211" s="1179"/>
      <c r="F211" s="1837"/>
      <c r="G211" s="1838"/>
      <c r="H211" s="2543" t="s">
        <v>1170</v>
      </c>
      <c r="I211" s="2544"/>
      <c r="J211" s="2513"/>
      <c r="K211" s="2545"/>
      <c r="L211" s="2135"/>
      <c r="M211" s="2136"/>
      <c r="N211" s="2536"/>
      <c r="O211" s="2537"/>
      <c r="P211" s="2540"/>
      <c r="Q211" s="2725"/>
      <c r="R211" s="2541"/>
      <c r="S211" s="2542"/>
      <c r="T211" s="2541"/>
      <c r="U211" s="2541"/>
      <c r="V211" s="2541"/>
      <c r="W211" s="2541"/>
      <c r="X211" s="2541"/>
      <c r="Y211" s="2541"/>
      <c r="Z211" s="1184"/>
      <c r="AA211" s="1185"/>
      <c r="AB211" s="1250" t="s">
        <v>1082</v>
      </c>
      <c r="AC211" s="1189"/>
      <c r="AD211" s="1189"/>
      <c r="AE211" s="1191"/>
      <c r="AF211" s="2534"/>
      <c r="AG211" s="2535"/>
      <c r="AH211" s="2535"/>
      <c r="AI211" s="2724"/>
      <c r="AJ211" s="2535"/>
      <c r="AK211" s="2535"/>
      <c r="AL211" s="1994"/>
      <c r="AM211" s="1831"/>
      <c r="AN211" s="1831"/>
      <c r="AO211" s="1831"/>
      <c r="AP211" s="1831"/>
      <c r="AQ211" s="1831"/>
      <c r="AR211" s="1831"/>
      <c r="AS211" s="1831"/>
      <c r="AT211" s="1831"/>
      <c r="AU211" s="1831"/>
      <c r="AV211" s="1831"/>
      <c r="AW211" s="1831"/>
      <c r="AX211" s="1831"/>
      <c r="AY211" s="1831"/>
      <c r="AZ211" s="1831"/>
      <c r="BA211" s="1831"/>
      <c r="BB211" s="1831"/>
      <c r="BC211" s="1831"/>
      <c r="BD211" s="1831"/>
      <c r="BE211" s="1831"/>
      <c r="BF211" s="1831"/>
      <c r="BG211" s="1644"/>
    </row>
    <row customHeight="1" ht="11.25">
      <c r="A212" s="1175" t="s">
        <v>1036</v>
      </c>
      <c r="B212" s="1175"/>
      <c r="C212" s="1175"/>
      <c r="D212" s="1169"/>
      <c r="E212" s="1179"/>
      <c r="F212" s="1837"/>
      <c r="G212" s="1838"/>
      <c r="H212" s="2543" t="s">
        <v>1170</v>
      </c>
      <c r="I212" s="2544"/>
      <c r="J212" s="2513"/>
      <c r="K212" s="2545"/>
      <c r="L212" s="2135"/>
      <c r="M212" s="2136"/>
      <c r="N212" s="1184"/>
      <c r="O212" s="1185"/>
      <c r="P212" s="1177" t="s">
        <v>1083</v>
      </c>
      <c r="Q212" s="1185"/>
      <c r="R212" s="1185"/>
      <c r="S212" s="1185"/>
      <c r="T212" s="1185"/>
      <c r="U212" s="1185"/>
      <c r="V212" s="1185"/>
      <c r="W212" s="1185"/>
      <c r="X212" s="1185"/>
      <c r="Y212" s="1185"/>
      <c r="Z212" s="1185"/>
      <c r="AA212" s="1185"/>
      <c r="AB212" s="1185"/>
      <c r="AC212" s="1185"/>
      <c r="AD212" s="1185"/>
      <c r="AE212" s="1192"/>
      <c r="AF212" s="2534"/>
      <c r="AG212" s="2535"/>
      <c r="AH212" s="2535"/>
      <c r="AI212" s="2724"/>
      <c r="AJ212" s="2535"/>
      <c r="AK212" s="2535"/>
      <c r="AL212" s="1994"/>
      <c r="AM212" s="1831"/>
      <c r="AN212" s="1831"/>
      <c r="AO212" s="1831"/>
      <c r="AP212" s="1831"/>
      <c r="AQ212" s="1831"/>
      <c r="AR212" s="1831"/>
      <c r="AS212" s="1831"/>
      <c r="AT212" s="1831"/>
      <c r="AU212" s="1831"/>
      <c r="AV212" s="1831"/>
      <c r="AW212" s="1831"/>
      <c r="AX212" s="1831"/>
      <c r="AY212" s="1831"/>
      <c r="AZ212" s="1831"/>
      <c r="BA212" s="1831"/>
      <c r="BB212" s="1831"/>
      <c r="BC212" s="1831"/>
      <c r="BD212" s="1831"/>
      <c r="BE212" s="1831"/>
      <c r="BF212" s="1831"/>
      <c r="BG212" s="1644"/>
    </row>
    <row customHeight="1" ht="11.25">
      <c r="A213" s="1175" t="s">
        <v>1036</v>
      </c>
      <c r="B213" s="1175" t="s">
        <v>1165</v>
      </c>
      <c r="C213" s="1175"/>
      <c r="D213" s="1169"/>
      <c r="E213" s="1179"/>
      <c r="F213" s="1837"/>
      <c r="G213" s="692" t="s">
        <v>104</v>
      </c>
      <c r="H213" s="2543" t="s">
        <v>1175</v>
      </c>
      <c r="I213" s="2544" t="s">
        <v>1167</v>
      </c>
      <c r="J213" s="2513" t="s">
        <v>1173</v>
      </c>
      <c r="K213" s="2545" t="s">
        <v>1176</v>
      </c>
      <c r="L213" s="2135" t="s">
        <v>19</v>
      </c>
      <c r="M213" s="2136"/>
      <c r="N213" s="1992"/>
      <c r="O213" s="1186" t="s">
        <v>391</v>
      </c>
      <c r="P213" s="1187"/>
      <c r="Q213" s="1187"/>
      <c r="R213" s="1187"/>
      <c r="S213" s="1187"/>
      <c r="T213" s="1187"/>
      <c r="U213" s="1187"/>
      <c r="V213" s="1187"/>
      <c r="W213" s="1187"/>
      <c r="X213" s="1187"/>
      <c r="Y213" s="1187"/>
      <c r="Z213" s="1187"/>
      <c r="AA213" s="1187"/>
      <c r="AB213" s="1187"/>
      <c r="AC213" s="1187"/>
      <c r="AD213" s="1187"/>
      <c r="AE213" s="1187"/>
      <c r="AF213" s="2534">
        <v>1</v>
      </c>
      <c r="AG213" s="2535" t="s">
        <v>1094</v>
      </c>
      <c r="AH213" s="2535" t="s">
        <v>1085</v>
      </c>
      <c r="AI213" s="2534">
        <v>1</v>
      </c>
      <c r="AJ213" s="2535" t="s">
        <v>1177</v>
      </c>
      <c r="AK213" s="2535" t="s">
        <v>1085</v>
      </c>
      <c r="AL213" s="1994"/>
      <c r="AM213" s="1831"/>
      <c r="AN213" s="1831"/>
      <c r="AO213" s="1831"/>
      <c r="AP213" s="1831"/>
      <c r="AQ213" s="1831"/>
      <c r="AR213" s="1831"/>
      <c r="AS213" s="1831"/>
      <c r="AT213" s="1831"/>
      <c r="AU213" s="1831"/>
      <c r="AV213" s="1831"/>
      <c r="AW213" s="1831"/>
      <c r="AX213" s="1831"/>
      <c r="AY213" s="1831"/>
      <c r="AZ213" s="1831"/>
      <c r="BA213" s="1831"/>
      <c r="BB213" s="1831"/>
      <c r="BC213" s="1831"/>
      <c r="BD213" s="1831"/>
      <c r="BE213" s="1831"/>
      <c r="BF213" s="1831"/>
      <c r="BG213" s="1644"/>
    </row>
    <row customHeight="1" ht="11.25">
      <c r="A214" s="1175" t="s">
        <v>1036</v>
      </c>
      <c r="B214" s="1175"/>
      <c r="C214" s="1175"/>
      <c r="D214" s="1169"/>
      <c r="E214" s="1179"/>
      <c r="F214" s="1837"/>
      <c r="G214" s="1838"/>
      <c r="H214" s="2543" t="s">
        <v>1172</v>
      </c>
      <c r="I214" s="2544"/>
      <c r="J214" s="2513"/>
      <c r="K214" s="2545"/>
      <c r="L214" s="2135"/>
      <c r="M214" s="2136"/>
      <c r="N214" s="2536"/>
      <c r="O214" s="2537">
        <v>1</v>
      </c>
      <c r="P214" s="2538" t="s">
        <v>63</v>
      </c>
      <c r="Q214" s="2725" t="s">
        <v>1106</v>
      </c>
      <c r="R214" s="2726" t="s">
        <v>1076</v>
      </c>
      <c r="S214" s="2726" t="s">
        <v>100</v>
      </c>
      <c r="T214" s="2726" t="s">
        <v>100</v>
      </c>
      <c r="U214" s="2726" t="s">
        <v>101</v>
      </c>
      <c r="V214" s="2726" t="s">
        <v>1107</v>
      </c>
      <c r="W214" s="2726" t="s">
        <v>1108</v>
      </c>
      <c r="X214" s="2726" t="s">
        <v>1109</v>
      </c>
      <c r="Y214" s="2726" t="s">
        <v>1110</v>
      </c>
      <c r="Z214" s="1184"/>
      <c r="AA214" s="1185"/>
      <c r="AB214" s="1185"/>
      <c r="AC214" s="1189"/>
      <c r="AD214" s="1189"/>
      <c r="AE214" s="1190"/>
      <c r="AF214" s="2534"/>
      <c r="AG214" s="2535"/>
      <c r="AH214" s="2535"/>
      <c r="AI214" s="2534"/>
      <c r="AJ214" s="2535"/>
      <c r="AK214" s="2535"/>
      <c r="AL214" s="1994"/>
      <c r="AM214" s="1831"/>
      <c r="AN214" s="1831"/>
      <c r="AO214" s="1831"/>
      <c r="AP214" s="1831"/>
      <c r="AQ214" s="1831"/>
      <c r="AR214" s="1831"/>
      <c r="AS214" s="1831"/>
      <c r="AT214" s="1831"/>
      <c r="AU214" s="1831"/>
      <c r="AV214" s="1831"/>
      <c r="AW214" s="1831"/>
      <c r="AX214" s="1831"/>
      <c r="AY214" s="1831"/>
      <c r="AZ214" s="1831"/>
      <c r="BA214" s="1831"/>
      <c r="BB214" s="1831"/>
      <c r="BC214" s="1831"/>
      <c r="BD214" s="1831"/>
      <c r="BE214" s="1831"/>
      <c r="BF214" s="1831"/>
      <c r="BG214" s="1644"/>
    </row>
    <row customHeight="1" ht="11.25">
      <c r="A215" s="1175" t="s">
        <v>1036</v>
      </c>
      <c r="B215" s="1175"/>
      <c r="C215" s="1175"/>
      <c r="D215" s="1169"/>
      <c r="E215" s="1179"/>
      <c r="F215" s="1837"/>
      <c r="G215" s="1838"/>
      <c r="H215" s="2543" t="s">
        <v>1172</v>
      </c>
      <c r="I215" s="2544"/>
      <c r="J215" s="2513"/>
      <c r="K215" s="2545"/>
      <c r="L215" s="2135"/>
      <c r="M215" s="2136"/>
      <c r="N215" s="2536"/>
      <c r="O215" s="2537"/>
      <c r="P215" s="2539"/>
      <c r="Q215" s="2725"/>
      <c r="R215" s="2541"/>
      <c r="S215" s="2542"/>
      <c r="T215" s="2541"/>
      <c r="U215" s="2541"/>
      <c r="V215" s="2541"/>
      <c r="W215" s="2541"/>
      <c r="X215" s="2541"/>
      <c r="Y215" s="2541"/>
      <c r="Z215" s="1836"/>
      <c r="AA215" s="1802">
        <v>1</v>
      </c>
      <c r="AB215" s="1188" t="s">
        <v>1091</v>
      </c>
      <c r="AC215" s="1178">
        <v>1599.69</v>
      </c>
      <c r="AD215" s="1188" t="str">
        <f>AB215</f>
        <v>  Прочие собственные средства</v>
      </c>
      <c r="AE215" s="1178">
        <v>1286.88</v>
      </c>
      <c r="AF215" s="2534"/>
      <c r="AG215" s="2535"/>
      <c r="AH215" s="2535"/>
      <c r="AI215" s="2534"/>
      <c r="AJ215" s="2535"/>
      <c r="AK215" s="2535"/>
      <c r="AL215" s="1994"/>
      <c r="AM215" s="1831"/>
      <c r="AN215" s="1831"/>
      <c r="AO215" s="1831"/>
      <c r="AP215" s="1831"/>
      <c r="AQ215" s="1831"/>
      <c r="AR215" s="1831"/>
      <c r="AS215" s="1831"/>
      <c r="AT215" s="1831"/>
      <c r="AU215" s="1831"/>
      <c r="AV215" s="1831"/>
      <c r="AW215" s="1831"/>
      <c r="AX215" s="1831"/>
      <c r="AY215" s="1831"/>
      <c r="AZ215" s="1831"/>
      <c r="BA215" s="1831"/>
      <c r="BB215" s="1831"/>
      <c r="BC215" s="1831"/>
      <c r="BD215" s="1831"/>
      <c r="BE215" s="1831"/>
      <c r="BF215" s="1831"/>
      <c r="BG215" s="1644"/>
    </row>
    <row customHeight="1" ht="11.25">
      <c r="A216" s="1175" t="s">
        <v>1036</v>
      </c>
      <c r="B216" s="1175"/>
      <c r="C216" s="1175"/>
      <c r="D216" s="1169"/>
      <c r="E216" s="1179"/>
      <c r="F216" s="1837"/>
      <c r="G216" s="1838"/>
      <c r="H216" s="2543" t="s">
        <v>1172</v>
      </c>
      <c r="I216" s="2544"/>
      <c r="J216" s="2513"/>
      <c r="K216" s="2545"/>
      <c r="L216" s="2135"/>
      <c r="M216" s="2136"/>
      <c r="N216" s="2536"/>
      <c r="O216" s="2537"/>
      <c r="P216" s="2540"/>
      <c r="Q216" s="2725"/>
      <c r="R216" s="2541"/>
      <c r="S216" s="2542"/>
      <c r="T216" s="2541"/>
      <c r="U216" s="2541"/>
      <c r="V216" s="2541"/>
      <c r="W216" s="2541"/>
      <c r="X216" s="2541"/>
      <c r="Y216" s="2541"/>
      <c r="Z216" s="1184"/>
      <c r="AA216" s="1185"/>
      <c r="AB216" s="1250" t="s">
        <v>1082</v>
      </c>
      <c r="AC216" s="1189"/>
      <c r="AD216" s="1189"/>
      <c r="AE216" s="1191"/>
      <c r="AF216" s="2534"/>
      <c r="AG216" s="2535"/>
      <c r="AH216" s="2535"/>
      <c r="AI216" s="2534"/>
      <c r="AJ216" s="2535"/>
      <c r="AK216" s="2535"/>
      <c r="AL216" s="1994"/>
      <c r="AM216" s="1831"/>
      <c r="AN216" s="1831"/>
      <c r="AO216" s="1831"/>
      <c r="AP216" s="1831"/>
      <c r="AQ216" s="1831"/>
      <c r="AR216" s="1831"/>
      <c r="AS216" s="1831"/>
      <c r="AT216" s="1831"/>
      <c r="AU216" s="1831"/>
      <c r="AV216" s="1831"/>
      <c r="AW216" s="1831"/>
      <c r="AX216" s="1831"/>
      <c r="AY216" s="1831"/>
      <c r="AZ216" s="1831"/>
      <c r="BA216" s="1831"/>
      <c r="BB216" s="1831"/>
      <c r="BC216" s="1831"/>
      <c r="BD216" s="1831"/>
      <c r="BE216" s="1831"/>
      <c r="BF216" s="1831"/>
      <c r="BG216" s="1644"/>
    </row>
    <row customHeight="1" ht="11.25">
      <c r="A217" s="1175" t="s">
        <v>1036</v>
      </c>
      <c r="B217" s="1175"/>
      <c r="C217" s="1175"/>
      <c r="D217" s="1169"/>
      <c r="E217" s="1179"/>
      <c r="F217" s="1837"/>
      <c r="G217" s="1838"/>
      <c r="H217" s="2543" t="s">
        <v>1172</v>
      </c>
      <c r="I217" s="2544"/>
      <c r="J217" s="2513"/>
      <c r="K217" s="2545"/>
      <c r="L217" s="2135"/>
      <c r="M217" s="2136"/>
      <c r="N217" s="1184"/>
      <c r="O217" s="1185"/>
      <c r="P217" s="1177" t="s">
        <v>1083</v>
      </c>
      <c r="Q217" s="1185"/>
      <c r="R217" s="1185"/>
      <c r="S217" s="1185"/>
      <c r="T217" s="1185"/>
      <c r="U217" s="1185"/>
      <c r="V217" s="1185"/>
      <c r="W217" s="1185"/>
      <c r="X217" s="1185"/>
      <c r="Y217" s="1185"/>
      <c r="Z217" s="1185"/>
      <c r="AA217" s="1185"/>
      <c r="AB217" s="1185"/>
      <c r="AC217" s="1185"/>
      <c r="AD217" s="1185"/>
      <c r="AE217" s="1192"/>
      <c r="AF217" s="2534"/>
      <c r="AG217" s="2535"/>
      <c r="AH217" s="2535"/>
      <c r="AI217" s="2534"/>
      <c r="AJ217" s="2535"/>
      <c r="AK217" s="2535"/>
      <c r="AL217" s="1994"/>
      <c r="AM217" s="1831"/>
      <c r="AN217" s="1831"/>
      <c r="AO217" s="1831"/>
      <c r="AP217" s="1831"/>
      <c r="AQ217" s="1831"/>
      <c r="AR217" s="1831"/>
      <c r="AS217" s="1831"/>
      <c r="AT217" s="1831"/>
      <c r="AU217" s="1831"/>
      <c r="AV217" s="1831"/>
      <c r="AW217" s="1831"/>
      <c r="AX217" s="1831"/>
      <c r="AY217" s="1831"/>
      <c r="AZ217" s="1831"/>
      <c r="BA217" s="1831"/>
      <c r="BB217" s="1831"/>
      <c r="BC217" s="1831"/>
      <c r="BD217" s="1831"/>
      <c r="BE217" s="1831"/>
      <c r="BF217" s="1831"/>
      <c r="BG217" s="1644"/>
    </row>
    <row customHeight="1" ht="11.25">
      <c r="A218" s="1175" t="s">
        <v>1036</v>
      </c>
      <c r="B218" s="1175" t="s">
        <v>1165</v>
      </c>
      <c r="C218" s="1175"/>
      <c r="D218" s="1169"/>
      <c r="E218" s="1179"/>
      <c r="F218" s="1837"/>
      <c r="G218" s="692" t="s">
        <v>104</v>
      </c>
      <c r="H218" s="2543" t="s">
        <v>1178</v>
      </c>
      <c r="I218" s="2544" t="s">
        <v>1167</v>
      </c>
      <c r="J218" s="2513" t="s">
        <v>1173</v>
      </c>
      <c r="K218" s="2545" t="s">
        <v>1179</v>
      </c>
      <c r="L218" s="2135" t="s">
        <v>19</v>
      </c>
      <c r="M218" s="2136"/>
      <c r="N218" s="1992"/>
      <c r="O218" s="1186" t="s">
        <v>391</v>
      </c>
      <c r="P218" s="1187"/>
      <c r="Q218" s="1187"/>
      <c r="R218" s="1187"/>
      <c r="S218" s="1187"/>
      <c r="T218" s="1187"/>
      <c r="U218" s="1187"/>
      <c r="V218" s="1187"/>
      <c r="W218" s="1187"/>
      <c r="X218" s="1187"/>
      <c r="Y218" s="1187"/>
      <c r="Z218" s="1187"/>
      <c r="AA218" s="1187"/>
      <c r="AB218" s="1187"/>
      <c r="AC218" s="1187"/>
      <c r="AD218" s="1187"/>
      <c r="AE218" s="1187"/>
      <c r="AF218" s="2534">
        <v>1</v>
      </c>
      <c r="AG218" s="2535" t="s">
        <v>1094</v>
      </c>
      <c r="AH218" s="2535" t="s">
        <v>1085</v>
      </c>
      <c r="AI218" s="2534">
        <v>1</v>
      </c>
      <c r="AJ218" s="2535" t="s">
        <v>1095</v>
      </c>
      <c r="AK218" s="2535" t="s">
        <v>1085</v>
      </c>
      <c r="AL218" s="1994"/>
      <c r="AM218" s="1831"/>
      <c r="AN218" s="1831"/>
      <c r="AO218" s="1831"/>
      <c r="AP218" s="1831"/>
      <c r="AQ218" s="1831"/>
      <c r="AR218" s="1831"/>
      <c r="AS218" s="1831"/>
      <c r="AT218" s="1831"/>
      <c r="AU218" s="1831"/>
      <c r="AV218" s="1831"/>
      <c r="AW218" s="1831"/>
      <c r="AX218" s="1831"/>
      <c r="AY218" s="1831"/>
      <c r="AZ218" s="1831"/>
      <c r="BA218" s="1831"/>
      <c r="BB218" s="1831"/>
      <c r="BC218" s="1831"/>
      <c r="BD218" s="1831"/>
      <c r="BE218" s="1831"/>
      <c r="BF218" s="1831"/>
      <c r="BG218" s="1644"/>
    </row>
    <row customHeight="1" ht="11.25">
      <c r="A219" s="1175" t="s">
        <v>1036</v>
      </c>
      <c r="B219" s="1175"/>
      <c r="C219" s="1175"/>
      <c r="D219" s="1169"/>
      <c r="E219" s="1179"/>
      <c r="F219" s="1837"/>
      <c r="G219" s="1838"/>
      <c r="H219" s="2543" t="s">
        <v>1175</v>
      </c>
      <c r="I219" s="2544"/>
      <c r="J219" s="2513"/>
      <c r="K219" s="2545"/>
      <c r="L219" s="2135"/>
      <c r="M219" s="2136"/>
      <c r="N219" s="2536"/>
      <c r="O219" s="2537">
        <v>1</v>
      </c>
      <c r="P219" s="2538" t="s">
        <v>63</v>
      </c>
      <c r="Q219" s="2725" t="s">
        <v>1096</v>
      </c>
      <c r="R219" s="2726" t="s">
        <v>1097</v>
      </c>
      <c r="S219" s="2726" t="s">
        <v>106</v>
      </c>
      <c r="T219" s="2726" t="s">
        <v>106</v>
      </c>
      <c r="U219" s="2726" t="s">
        <v>107</v>
      </c>
      <c r="V219" s="2726" t="s">
        <v>1077</v>
      </c>
      <c r="W219" s="2726" t="s">
        <v>1078</v>
      </c>
      <c r="X219" s="2726" t="s">
        <v>1098</v>
      </c>
      <c r="Y219" s="2726" t="s">
        <v>1099</v>
      </c>
      <c r="Z219" s="1184"/>
      <c r="AA219" s="1185"/>
      <c r="AB219" s="1185"/>
      <c r="AC219" s="1189"/>
      <c r="AD219" s="1189"/>
      <c r="AE219" s="1190"/>
      <c r="AF219" s="2534"/>
      <c r="AG219" s="2535"/>
      <c r="AH219" s="2535"/>
      <c r="AI219" s="2534"/>
      <c r="AJ219" s="2535"/>
      <c r="AK219" s="2535"/>
      <c r="AL219" s="1994"/>
      <c r="AM219" s="1831"/>
      <c r="AN219" s="1831"/>
      <c r="AO219" s="1831"/>
      <c r="AP219" s="1831"/>
      <c r="AQ219" s="1831"/>
      <c r="AR219" s="1831"/>
      <c r="AS219" s="1831"/>
      <c r="AT219" s="1831"/>
      <c r="AU219" s="1831"/>
      <c r="AV219" s="1831"/>
      <c r="AW219" s="1831"/>
      <c r="AX219" s="1831"/>
      <c r="AY219" s="1831"/>
      <c r="AZ219" s="1831"/>
      <c r="BA219" s="1831"/>
      <c r="BB219" s="1831"/>
      <c r="BC219" s="1831"/>
      <c r="BD219" s="1831"/>
      <c r="BE219" s="1831"/>
      <c r="BF219" s="1831"/>
      <c r="BG219" s="1644"/>
    </row>
    <row customHeight="1" ht="11.25">
      <c r="A220" s="1175" t="s">
        <v>1036</v>
      </c>
      <c r="B220" s="1175"/>
      <c r="C220" s="1175"/>
      <c r="D220" s="1169"/>
      <c r="E220" s="1179"/>
      <c r="F220" s="1837"/>
      <c r="G220" s="1838"/>
      <c r="H220" s="2543" t="s">
        <v>1175</v>
      </c>
      <c r="I220" s="2544"/>
      <c r="J220" s="2513"/>
      <c r="K220" s="2545"/>
      <c r="L220" s="2135"/>
      <c r="M220" s="2136"/>
      <c r="N220" s="2536"/>
      <c r="O220" s="2537"/>
      <c r="P220" s="2539"/>
      <c r="Q220" s="2725"/>
      <c r="R220" s="2541"/>
      <c r="S220" s="2542"/>
      <c r="T220" s="2541"/>
      <c r="U220" s="2541"/>
      <c r="V220" s="2541"/>
      <c r="W220" s="2541"/>
      <c r="X220" s="2541"/>
      <c r="Y220" s="2541"/>
      <c r="Z220" s="1836"/>
      <c r="AA220" s="1802">
        <v>1</v>
      </c>
      <c r="AB220" s="1188" t="s">
        <v>1091</v>
      </c>
      <c r="AC220" s="1178">
        <v>326.07</v>
      </c>
      <c r="AD220" s="1188" t="str">
        <f>AB220</f>
        <v>  Прочие собственные средства</v>
      </c>
      <c r="AE220" s="1178">
        <v>326.07</v>
      </c>
      <c r="AF220" s="2534"/>
      <c r="AG220" s="2535"/>
      <c r="AH220" s="2535"/>
      <c r="AI220" s="2534"/>
      <c r="AJ220" s="2535"/>
      <c r="AK220" s="2535"/>
      <c r="AL220" s="1994"/>
      <c r="AM220" s="1831"/>
      <c r="AN220" s="1831"/>
      <c r="AO220" s="1831"/>
      <c r="AP220" s="1831"/>
      <c r="AQ220" s="1831"/>
      <c r="AR220" s="1831"/>
      <c r="AS220" s="1831"/>
      <c r="AT220" s="1831"/>
      <c r="AU220" s="1831"/>
      <c r="AV220" s="1831"/>
      <c r="AW220" s="1831"/>
      <c r="AX220" s="1831"/>
      <c r="AY220" s="1831"/>
      <c r="AZ220" s="1831"/>
      <c r="BA220" s="1831"/>
      <c r="BB220" s="1831"/>
      <c r="BC220" s="1831"/>
      <c r="BD220" s="1831"/>
      <c r="BE220" s="1831"/>
      <c r="BF220" s="1831"/>
      <c r="BG220" s="1644"/>
    </row>
    <row customHeight="1" ht="11.25">
      <c r="A221" s="1175" t="s">
        <v>1036</v>
      </c>
      <c r="B221" s="1175"/>
      <c r="C221" s="1175"/>
      <c r="D221" s="1169"/>
      <c r="E221" s="1179"/>
      <c r="F221" s="1837"/>
      <c r="G221" s="1838"/>
      <c r="H221" s="2543" t="s">
        <v>1175</v>
      </c>
      <c r="I221" s="2544"/>
      <c r="J221" s="2513"/>
      <c r="K221" s="2545"/>
      <c r="L221" s="2135"/>
      <c r="M221" s="2136"/>
      <c r="N221" s="2536"/>
      <c r="O221" s="2537"/>
      <c r="P221" s="2540"/>
      <c r="Q221" s="2725"/>
      <c r="R221" s="2541"/>
      <c r="S221" s="2542"/>
      <c r="T221" s="2541"/>
      <c r="U221" s="2541"/>
      <c r="V221" s="2541"/>
      <c r="W221" s="2541"/>
      <c r="X221" s="2541"/>
      <c r="Y221" s="2541"/>
      <c r="Z221" s="1184"/>
      <c r="AA221" s="1185"/>
      <c r="AB221" s="1250" t="s">
        <v>1082</v>
      </c>
      <c r="AC221" s="1189"/>
      <c r="AD221" s="1189"/>
      <c r="AE221" s="1191"/>
      <c r="AF221" s="2534"/>
      <c r="AG221" s="2535"/>
      <c r="AH221" s="2535"/>
      <c r="AI221" s="2534"/>
      <c r="AJ221" s="2535"/>
      <c r="AK221" s="2535"/>
      <c r="AL221" s="1994"/>
      <c r="AM221" s="1831"/>
      <c r="AN221" s="1831"/>
      <c r="AO221" s="1831"/>
      <c r="AP221" s="1831"/>
      <c r="AQ221" s="1831"/>
      <c r="AR221" s="1831"/>
      <c r="AS221" s="1831"/>
      <c r="AT221" s="1831"/>
      <c r="AU221" s="1831"/>
      <c r="AV221" s="1831"/>
      <c r="AW221" s="1831"/>
      <c r="AX221" s="1831"/>
      <c r="AY221" s="1831"/>
      <c r="AZ221" s="1831"/>
      <c r="BA221" s="1831"/>
      <c r="BB221" s="1831"/>
      <c r="BC221" s="1831"/>
      <c r="BD221" s="1831"/>
      <c r="BE221" s="1831"/>
      <c r="BF221" s="1831"/>
      <c r="BG221" s="1644"/>
    </row>
    <row customHeight="1" ht="11.25">
      <c r="A222" s="1175" t="s">
        <v>1036</v>
      </c>
      <c r="B222" s="1175"/>
      <c r="C222" s="1175"/>
      <c r="D222" s="1169"/>
      <c r="E222" s="1179"/>
      <c r="F222" s="1837"/>
      <c r="G222" s="1838"/>
      <c r="H222" s="2543" t="s">
        <v>1175</v>
      </c>
      <c r="I222" s="2544"/>
      <c r="J222" s="2513"/>
      <c r="K222" s="2545"/>
      <c r="L222" s="2135"/>
      <c r="M222" s="2136"/>
      <c r="N222" s="1184"/>
      <c r="O222" s="1185"/>
      <c r="P222" s="1177" t="s">
        <v>1083</v>
      </c>
      <c r="Q222" s="1185"/>
      <c r="R222" s="1185"/>
      <c r="S222" s="1185"/>
      <c r="T222" s="1185"/>
      <c r="U222" s="1185"/>
      <c r="V222" s="1185"/>
      <c r="W222" s="1185"/>
      <c r="X222" s="1185"/>
      <c r="Y222" s="1185"/>
      <c r="Z222" s="1185"/>
      <c r="AA222" s="1185"/>
      <c r="AB222" s="1185"/>
      <c r="AC222" s="1185"/>
      <c r="AD222" s="1185"/>
      <c r="AE222" s="1192"/>
      <c r="AF222" s="2534"/>
      <c r="AG222" s="2535"/>
      <c r="AH222" s="2535"/>
      <c r="AI222" s="2534"/>
      <c r="AJ222" s="2535"/>
      <c r="AK222" s="2535"/>
      <c r="AL222" s="1994"/>
      <c r="AM222" s="1831"/>
      <c r="AN222" s="1831"/>
      <c r="AO222" s="1831"/>
      <c r="AP222" s="1831"/>
      <c r="AQ222" s="1831"/>
      <c r="AR222" s="1831"/>
      <c r="AS222" s="1831"/>
      <c r="AT222" s="1831"/>
      <c r="AU222" s="1831"/>
      <c r="AV222" s="1831"/>
      <c r="AW222" s="1831"/>
      <c r="AX222" s="1831"/>
      <c r="AY222" s="1831"/>
      <c r="AZ222" s="1831"/>
      <c r="BA222" s="1831"/>
      <c r="BB222" s="1831"/>
      <c r="BC222" s="1831"/>
      <c r="BD222" s="1831"/>
      <c r="BE222" s="1831"/>
      <c r="BF222" s="1831"/>
      <c r="BG222" s="1644"/>
    </row>
    <row customHeight="1" ht="11.25">
      <c r="A223" s="1175" t="s">
        <v>1036</v>
      </c>
      <c r="B223" s="1175" t="s">
        <v>1165</v>
      </c>
      <c r="C223" s="1175"/>
      <c r="D223" s="1169"/>
      <c r="E223" s="1179"/>
      <c r="F223" s="1837"/>
      <c r="G223" s="692" t="s">
        <v>104</v>
      </c>
      <c r="H223" s="2543" t="s">
        <v>1180</v>
      </c>
      <c r="I223" s="2544" t="s">
        <v>1167</v>
      </c>
      <c r="J223" s="2513" t="s">
        <v>1168</v>
      </c>
      <c r="K223" s="2545" t="s">
        <v>1181</v>
      </c>
      <c r="L223" s="2135" t="s">
        <v>19</v>
      </c>
      <c r="M223" s="2136"/>
      <c r="N223" s="1992"/>
      <c r="O223" s="1186" t="s">
        <v>391</v>
      </c>
      <c r="P223" s="1187"/>
      <c r="Q223" s="1187"/>
      <c r="R223" s="1187"/>
      <c r="S223" s="1187"/>
      <c r="T223" s="1187"/>
      <c r="U223" s="1187"/>
      <c r="V223" s="1187"/>
      <c r="W223" s="1187"/>
      <c r="X223" s="1187"/>
      <c r="Y223" s="1187"/>
      <c r="Z223" s="1187"/>
      <c r="AA223" s="1187"/>
      <c r="AB223" s="1187"/>
      <c r="AC223" s="1187"/>
      <c r="AD223" s="1187"/>
      <c r="AE223" s="1187"/>
      <c r="AF223" s="2534">
        <v>1</v>
      </c>
      <c r="AG223" s="2535" t="s">
        <v>1094</v>
      </c>
      <c r="AH223" s="2535" t="s">
        <v>1085</v>
      </c>
      <c r="AI223" s="2534">
        <v>1</v>
      </c>
      <c r="AJ223" s="2535" t="s">
        <v>1095</v>
      </c>
      <c r="AK223" s="2535" t="s">
        <v>1085</v>
      </c>
      <c r="AL223" s="1994"/>
      <c r="AM223" s="1831"/>
      <c r="AN223" s="1831"/>
      <c r="AO223" s="1831"/>
      <c r="AP223" s="1831"/>
      <c r="AQ223" s="1831"/>
      <c r="AR223" s="1831"/>
      <c r="AS223" s="1831"/>
      <c r="AT223" s="1831"/>
      <c r="AU223" s="1831"/>
      <c r="AV223" s="1831"/>
      <c r="AW223" s="1831"/>
      <c r="AX223" s="1831"/>
      <c r="AY223" s="1831"/>
      <c r="AZ223" s="1831"/>
      <c r="BA223" s="1831"/>
      <c r="BB223" s="1831"/>
      <c r="BC223" s="1831"/>
      <c r="BD223" s="1831"/>
      <c r="BE223" s="1831"/>
      <c r="BF223" s="1831"/>
      <c r="BG223" s="1644"/>
    </row>
    <row customHeight="1" ht="11.25">
      <c r="A224" s="1175" t="s">
        <v>1036</v>
      </c>
      <c r="B224" s="1175"/>
      <c r="C224" s="1175"/>
      <c r="D224" s="1169"/>
      <c r="E224" s="1179"/>
      <c r="F224" s="1837"/>
      <c r="G224" s="1838"/>
      <c r="H224" s="2543" t="s">
        <v>1178</v>
      </c>
      <c r="I224" s="2544"/>
      <c r="J224" s="2513"/>
      <c r="K224" s="2545"/>
      <c r="L224" s="2135"/>
      <c r="M224" s="2136"/>
      <c r="N224" s="2536"/>
      <c r="O224" s="2537">
        <v>1</v>
      </c>
      <c r="P224" s="2538" t="s">
        <v>63</v>
      </c>
      <c r="Q224" s="2725" t="s">
        <v>1101</v>
      </c>
      <c r="R224" s="2726" t="s">
        <v>1076</v>
      </c>
      <c r="S224" s="2726" t="s">
        <v>106</v>
      </c>
      <c r="T224" s="2726" t="s">
        <v>106</v>
      </c>
      <c r="U224" s="2726" t="s">
        <v>107</v>
      </c>
      <c r="V224" s="2726" t="s">
        <v>1077</v>
      </c>
      <c r="W224" s="2726" t="s">
        <v>1078</v>
      </c>
      <c r="X224" s="2726" t="s">
        <v>1102</v>
      </c>
      <c r="Y224" s="2726" t="s">
        <v>1103</v>
      </c>
      <c r="Z224" s="1184"/>
      <c r="AA224" s="1185"/>
      <c r="AB224" s="1185"/>
      <c r="AC224" s="1189"/>
      <c r="AD224" s="1189"/>
      <c r="AE224" s="1190"/>
      <c r="AF224" s="2534"/>
      <c r="AG224" s="2535"/>
      <c r="AH224" s="2535"/>
      <c r="AI224" s="2534"/>
      <c r="AJ224" s="2535"/>
      <c r="AK224" s="2535"/>
      <c r="AL224" s="1994"/>
      <c r="AM224" s="1831"/>
      <c r="AN224" s="1831"/>
      <c r="AO224" s="1831"/>
      <c r="AP224" s="1831"/>
      <c r="AQ224" s="1831"/>
      <c r="AR224" s="1831"/>
      <c r="AS224" s="1831"/>
      <c r="AT224" s="1831"/>
      <c r="AU224" s="1831"/>
      <c r="AV224" s="1831"/>
      <c r="AW224" s="1831"/>
      <c r="AX224" s="1831"/>
      <c r="AY224" s="1831"/>
      <c r="AZ224" s="1831"/>
      <c r="BA224" s="1831"/>
      <c r="BB224" s="1831"/>
      <c r="BC224" s="1831"/>
      <c r="BD224" s="1831"/>
      <c r="BE224" s="1831"/>
      <c r="BF224" s="1831"/>
      <c r="BG224" s="1644"/>
    </row>
    <row customHeight="1" ht="11.25">
      <c r="A225" s="1175" t="s">
        <v>1036</v>
      </c>
      <c r="B225" s="1175"/>
      <c r="C225" s="1175"/>
      <c r="D225" s="1169"/>
      <c r="E225" s="1179"/>
      <c r="F225" s="1837"/>
      <c r="G225" s="1838"/>
      <c r="H225" s="2543" t="s">
        <v>1178</v>
      </c>
      <c r="I225" s="2544"/>
      <c r="J225" s="2513"/>
      <c r="K225" s="2545"/>
      <c r="L225" s="2135"/>
      <c r="M225" s="2136"/>
      <c r="N225" s="2536"/>
      <c r="O225" s="2537"/>
      <c r="P225" s="2539"/>
      <c r="Q225" s="2725"/>
      <c r="R225" s="2541"/>
      <c r="S225" s="2542"/>
      <c r="T225" s="2541"/>
      <c r="U225" s="2541"/>
      <c r="V225" s="2541"/>
      <c r="W225" s="2541"/>
      <c r="X225" s="2541"/>
      <c r="Y225" s="2541"/>
      <c r="Z225" s="1836"/>
      <c r="AA225" s="1802">
        <v>1</v>
      </c>
      <c r="AB225" s="1188" t="s">
        <v>1091</v>
      </c>
      <c r="AC225" s="1178">
        <v>4649.24</v>
      </c>
      <c r="AD225" s="1188" t="str">
        <f>AB225</f>
        <v>  Прочие собственные средства</v>
      </c>
      <c r="AE225" s="1178">
        <v>4649.24</v>
      </c>
      <c r="AF225" s="2534"/>
      <c r="AG225" s="2535"/>
      <c r="AH225" s="2535"/>
      <c r="AI225" s="2534"/>
      <c r="AJ225" s="2535"/>
      <c r="AK225" s="2535"/>
      <c r="AL225" s="1994"/>
      <c r="AM225" s="1831"/>
      <c r="AN225" s="1831"/>
      <c r="AO225" s="1831"/>
      <c r="AP225" s="1831"/>
      <c r="AQ225" s="1831"/>
      <c r="AR225" s="1831"/>
      <c r="AS225" s="1831"/>
      <c r="AT225" s="1831"/>
      <c r="AU225" s="1831"/>
      <c r="AV225" s="1831"/>
      <c r="AW225" s="1831"/>
      <c r="AX225" s="1831"/>
      <c r="AY225" s="1831"/>
      <c r="AZ225" s="1831"/>
      <c r="BA225" s="1831"/>
      <c r="BB225" s="1831"/>
      <c r="BC225" s="1831"/>
      <c r="BD225" s="1831"/>
      <c r="BE225" s="1831"/>
      <c r="BF225" s="1831"/>
      <c r="BG225" s="1644"/>
    </row>
    <row customHeight="1" ht="11.25">
      <c r="A226" s="1175" t="s">
        <v>1036</v>
      </c>
      <c r="B226" s="1175"/>
      <c r="C226" s="1175"/>
      <c r="D226" s="1169"/>
      <c r="E226" s="1179"/>
      <c r="F226" s="1837"/>
      <c r="G226" s="1838"/>
      <c r="H226" s="2543" t="s">
        <v>1178</v>
      </c>
      <c r="I226" s="2544"/>
      <c r="J226" s="2513"/>
      <c r="K226" s="2545"/>
      <c r="L226" s="2135"/>
      <c r="M226" s="2136"/>
      <c r="N226" s="2536"/>
      <c r="O226" s="2537"/>
      <c r="P226" s="2540"/>
      <c r="Q226" s="2725"/>
      <c r="R226" s="2541"/>
      <c r="S226" s="2542"/>
      <c r="T226" s="2541"/>
      <c r="U226" s="2541"/>
      <c r="V226" s="2541"/>
      <c r="W226" s="2541"/>
      <c r="X226" s="2541"/>
      <c r="Y226" s="2541"/>
      <c r="Z226" s="1184"/>
      <c r="AA226" s="1185"/>
      <c r="AB226" s="1250" t="s">
        <v>1082</v>
      </c>
      <c r="AC226" s="1189"/>
      <c r="AD226" s="1189"/>
      <c r="AE226" s="1191"/>
      <c r="AF226" s="2534"/>
      <c r="AG226" s="2535"/>
      <c r="AH226" s="2535"/>
      <c r="AI226" s="2534"/>
      <c r="AJ226" s="2535"/>
      <c r="AK226" s="2535"/>
      <c r="AL226" s="1994"/>
      <c r="AM226" s="1831"/>
      <c r="AN226" s="1831"/>
      <c r="AO226" s="1831"/>
      <c r="AP226" s="1831"/>
      <c r="AQ226" s="1831"/>
      <c r="AR226" s="1831"/>
      <c r="AS226" s="1831"/>
      <c r="AT226" s="1831"/>
      <c r="AU226" s="1831"/>
      <c r="AV226" s="1831"/>
      <c r="AW226" s="1831"/>
      <c r="AX226" s="1831"/>
      <c r="AY226" s="1831"/>
      <c r="AZ226" s="1831"/>
      <c r="BA226" s="1831"/>
      <c r="BB226" s="1831"/>
      <c r="BC226" s="1831"/>
      <c r="BD226" s="1831"/>
      <c r="BE226" s="1831"/>
      <c r="BF226" s="1831"/>
      <c r="BG226" s="1644"/>
    </row>
    <row customHeight="1" ht="11.25">
      <c r="A227" s="1175" t="s">
        <v>1036</v>
      </c>
      <c r="B227" s="1175"/>
      <c r="C227" s="1175"/>
      <c r="D227" s="1169"/>
      <c r="E227" s="1179"/>
      <c r="F227" s="1837"/>
      <c r="G227" s="1838"/>
      <c r="H227" s="2543" t="s">
        <v>1178</v>
      </c>
      <c r="I227" s="2544"/>
      <c r="J227" s="2513"/>
      <c r="K227" s="2545"/>
      <c r="L227" s="2135"/>
      <c r="M227" s="2136"/>
      <c r="N227" s="1184"/>
      <c r="O227" s="1185"/>
      <c r="P227" s="1177" t="s">
        <v>1083</v>
      </c>
      <c r="Q227" s="1185"/>
      <c r="R227" s="1185"/>
      <c r="S227" s="1185"/>
      <c r="T227" s="1185"/>
      <c r="U227" s="1185"/>
      <c r="V227" s="1185"/>
      <c r="W227" s="1185"/>
      <c r="X227" s="1185"/>
      <c r="Y227" s="1185"/>
      <c r="Z227" s="1185"/>
      <c r="AA227" s="1185"/>
      <c r="AB227" s="1185"/>
      <c r="AC227" s="1185"/>
      <c r="AD227" s="1185"/>
      <c r="AE227" s="1192"/>
      <c r="AF227" s="2534"/>
      <c r="AG227" s="2535"/>
      <c r="AH227" s="2535"/>
      <c r="AI227" s="2534"/>
      <c r="AJ227" s="2535"/>
      <c r="AK227" s="2535"/>
      <c r="AL227" s="1994"/>
      <c r="AM227" s="1831"/>
      <c r="AN227" s="1831"/>
      <c r="AO227" s="1831"/>
      <c r="AP227" s="1831"/>
      <c r="AQ227" s="1831"/>
      <c r="AR227" s="1831"/>
      <c r="AS227" s="1831"/>
      <c r="AT227" s="1831"/>
      <c r="AU227" s="1831"/>
      <c r="AV227" s="1831"/>
      <c r="AW227" s="1831"/>
      <c r="AX227" s="1831"/>
      <c r="AY227" s="1831"/>
      <c r="AZ227" s="1831"/>
      <c r="BA227" s="1831"/>
      <c r="BB227" s="1831"/>
      <c r="BC227" s="1831"/>
      <c r="BD227" s="1831"/>
      <c r="BE227" s="1831"/>
      <c r="BF227" s="1831"/>
      <c r="BG227" s="1644"/>
    </row>
    <row customHeight="1" ht="11.25">
      <c r="A228" s="1175" t="s">
        <v>1036</v>
      </c>
      <c r="B228" s="1175" t="s">
        <v>1165</v>
      </c>
      <c r="C228" s="1175"/>
      <c r="D228" s="1169"/>
      <c r="E228" s="1179"/>
      <c r="F228" s="1837"/>
      <c r="G228" s="692" t="s">
        <v>104</v>
      </c>
      <c r="H228" s="2543" t="s">
        <v>1182</v>
      </c>
      <c r="I228" s="2544" t="s">
        <v>1167</v>
      </c>
      <c r="J228" s="2513" t="s">
        <v>1173</v>
      </c>
      <c r="K228" s="2545" t="s">
        <v>1183</v>
      </c>
      <c r="L228" s="2135" t="s">
        <v>19</v>
      </c>
      <c r="M228" s="2136"/>
      <c r="N228" s="1992"/>
      <c r="O228" s="1186" t="s">
        <v>391</v>
      </c>
      <c r="P228" s="1187"/>
      <c r="Q228" s="1187"/>
      <c r="R228" s="1187"/>
      <c r="S228" s="1187"/>
      <c r="T228" s="1187"/>
      <c r="U228" s="1187"/>
      <c r="V228" s="1187"/>
      <c r="W228" s="1187"/>
      <c r="X228" s="1187"/>
      <c r="Y228" s="1187"/>
      <c r="Z228" s="1187"/>
      <c r="AA228" s="1187"/>
      <c r="AB228" s="1187"/>
      <c r="AC228" s="1187"/>
      <c r="AD228" s="1187"/>
      <c r="AE228" s="1187"/>
      <c r="AF228" s="2534">
        <v>1</v>
      </c>
      <c r="AG228" s="2535" t="s">
        <v>1094</v>
      </c>
      <c r="AH228" s="2535" t="s">
        <v>1085</v>
      </c>
      <c r="AI228" s="2534">
        <v>1</v>
      </c>
      <c r="AJ228" s="2535" t="s">
        <v>1095</v>
      </c>
      <c r="AK228" s="2535" t="s">
        <v>1085</v>
      </c>
      <c r="AL228" s="1994"/>
      <c r="AM228" s="1831"/>
      <c r="AN228" s="1831"/>
      <c r="AO228" s="1831"/>
      <c r="AP228" s="1831"/>
      <c r="AQ228" s="1831"/>
      <c r="AR228" s="1831"/>
      <c r="AS228" s="1831"/>
      <c r="AT228" s="1831"/>
      <c r="AU228" s="1831"/>
      <c r="AV228" s="1831"/>
      <c r="AW228" s="1831"/>
      <c r="AX228" s="1831"/>
      <c r="AY228" s="1831"/>
      <c r="AZ228" s="1831"/>
      <c r="BA228" s="1831"/>
      <c r="BB228" s="1831"/>
      <c r="BC228" s="1831"/>
      <c r="BD228" s="1831"/>
      <c r="BE228" s="1831"/>
      <c r="BF228" s="1831"/>
      <c r="BG228" s="1644"/>
    </row>
    <row customHeight="1" ht="11.25">
      <c r="A229" s="1175" t="s">
        <v>1036</v>
      </c>
      <c r="B229" s="1175"/>
      <c r="C229" s="1175"/>
      <c r="D229" s="1169"/>
      <c r="E229" s="1179"/>
      <c r="F229" s="1837"/>
      <c r="G229" s="1838"/>
      <c r="H229" s="2543" t="s">
        <v>1180</v>
      </c>
      <c r="I229" s="2544"/>
      <c r="J229" s="2513"/>
      <c r="K229" s="2545"/>
      <c r="L229" s="2135"/>
      <c r="M229" s="2136"/>
      <c r="N229" s="2536"/>
      <c r="O229" s="2537">
        <v>1</v>
      </c>
      <c r="P229" s="2538" t="s">
        <v>63</v>
      </c>
      <c r="Q229" s="2725" t="s">
        <v>1112</v>
      </c>
      <c r="R229" s="2726" t="s">
        <v>1076</v>
      </c>
      <c r="S229" s="2726" t="s">
        <v>106</v>
      </c>
      <c r="T229" s="2726" t="s">
        <v>106</v>
      </c>
      <c r="U229" s="2726" t="s">
        <v>107</v>
      </c>
      <c r="V229" s="2726" t="s">
        <v>1077</v>
      </c>
      <c r="W229" s="2726" t="s">
        <v>1078</v>
      </c>
      <c r="X229" s="2726" t="s">
        <v>1113</v>
      </c>
      <c r="Y229" s="2726" t="s">
        <v>1114</v>
      </c>
      <c r="Z229" s="1184"/>
      <c r="AA229" s="1185"/>
      <c r="AB229" s="1185"/>
      <c r="AC229" s="1189"/>
      <c r="AD229" s="1189"/>
      <c r="AE229" s="1190"/>
      <c r="AF229" s="2534"/>
      <c r="AG229" s="2535"/>
      <c r="AH229" s="2535"/>
      <c r="AI229" s="2534"/>
      <c r="AJ229" s="2535"/>
      <c r="AK229" s="2535"/>
      <c r="AL229" s="1994"/>
      <c r="AM229" s="1831"/>
      <c r="AN229" s="1831"/>
      <c r="AO229" s="1831"/>
      <c r="AP229" s="1831"/>
      <c r="AQ229" s="1831"/>
      <c r="AR229" s="1831"/>
      <c r="AS229" s="1831"/>
      <c r="AT229" s="1831"/>
      <c r="AU229" s="1831"/>
      <c r="AV229" s="1831"/>
      <c r="AW229" s="1831"/>
      <c r="AX229" s="1831"/>
      <c r="AY229" s="1831"/>
      <c r="AZ229" s="1831"/>
      <c r="BA229" s="1831"/>
      <c r="BB229" s="1831"/>
      <c r="BC229" s="1831"/>
      <c r="BD229" s="1831"/>
      <c r="BE229" s="1831"/>
      <c r="BF229" s="1831"/>
      <c r="BG229" s="1644"/>
    </row>
    <row customHeight="1" ht="11.25">
      <c r="A230" s="1175" t="s">
        <v>1036</v>
      </c>
      <c r="B230" s="1175"/>
      <c r="C230" s="1175"/>
      <c r="D230" s="1169"/>
      <c r="E230" s="1179"/>
      <c r="F230" s="1837"/>
      <c r="G230" s="1838"/>
      <c r="H230" s="2543" t="s">
        <v>1180</v>
      </c>
      <c r="I230" s="2544"/>
      <c r="J230" s="2513"/>
      <c r="K230" s="2545"/>
      <c r="L230" s="2135"/>
      <c r="M230" s="2136"/>
      <c r="N230" s="2536"/>
      <c r="O230" s="2537"/>
      <c r="P230" s="2539"/>
      <c r="Q230" s="2725"/>
      <c r="R230" s="2541"/>
      <c r="S230" s="2542"/>
      <c r="T230" s="2541"/>
      <c r="U230" s="2541"/>
      <c r="V230" s="2541"/>
      <c r="W230" s="2541"/>
      <c r="X230" s="2541"/>
      <c r="Y230" s="2541"/>
      <c r="Z230" s="1836"/>
      <c r="AA230" s="1802">
        <v>1</v>
      </c>
      <c r="AB230" s="1188" t="s">
        <v>1164</v>
      </c>
      <c r="AC230" s="1178">
        <v>1439.51</v>
      </c>
      <c r="AD230" s="1188" t="str">
        <f>AB230</f>
        <v>  За счет платы за технологическое присоединение</v>
      </c>
      <c r="AE230" s="1178">
        <v>1439.51</v>
      </c>
      <c r="AF230" s="2534"/>
      <c r="AG230" s="2535"/>
      <c r="AH230" s="2535"/>
      <c r="AI230" s="2534"/>
      <c r="AJ230" s="2535"/>
      <c r="AK230" s="2535"/>
      <c r="AL230" s="1994"/>
      <c r="AM230" s="1831"/>
      <c r="AN230" s="1831"/>
      <c r="AO230" s="1831"/>
      <c r="AP230" s="1831"/>
      <c r="AQ230" s="1831"/>
      <c r="AR230" s="1831"/>
      <c r="AS230" s="1831"/>
      <c r="AT230" s="1831"/>
      <c r="AU230" s="1831"/>
      <c r="AV230" s="1831"/>
      <c r="AW230" s="1831"/>
      <c r="AX230" s="1831"/>
      <c r="AY230" s="1831"/>
      <c r="AZ230" s="1831"/>
      <c r="BA230" s="1831"/>
      <c r="BB230" s="1831"/>
      <c r="BC230" s="1831"/>
      <c r="BD230" s="1831"/>
      <c r="BE230" s="1831"/>
      <c r="BF230" s="1831"/>
      <c r="BG230" s="1644"/>
    </row>
    <row customHeight="1" ht="11.25">
      <c r="A231" s="1175" t="s">
        <v>1036</v>
      </c>
      <c r="B231" s="1175"/>
      <c r="C231" s="1175"/>
      <c r="D231" s="1169"/>
      <c r="E231" s="1179"/>
      <c r="F231" s="1837"/>
      <c r="G231" s="1838"/>
      <c r="H231" s="2543" t="s">
        <v>1180</v>
      </c>
      <c r="I231" s="2544"/>
      <c r="J231" s="2513"/>
      <c r="K231" s="2545"/>
      <c r="L231" s="2135"/>
      <c r="M231" s="2136"/>
      <c r="N231" s="2536"/>
      <c r="O231" s="2537"/>
      <c r="P231" s="2540"/>
      <c r="Q231" s="2725"/>
      <c r="R231" s="2541"/>
      <c r="S231" s="2542"/>
      <c r="T231" s="2541"/>
      <c r="U231" s="2541"/>
      <c r="V231" s="2541"/>
      <c r="W231" s="2541"/>
      <c r="X231" s="2541"/>
      <c r="Y231" s="2541"/>
      <c r="Z231" s="1184"/>
      <c r="AA231" s="1185"/>
      <c r="AB231" s="1250" t="s">
        <v>1082</v>
      </c>
      <c r="AC231" s="1189"/>
      <c r="AD231" s="1189"/>
      <c r="AE231" s="1191"/>
      <c r="AF231" s="2534"/>
      <c r="AG231" s="2535"/>
      <c r="AH231" s="2535"/>
      <c r="AI231" s="2534"/>
      <c r="AJ231" s="2535"/>
      <c r="AK231" s="2535"/>
      <c r="AL231" s="1994"/>
      <c r="AM231" s="1831"/>
      <c r="AN231" s="1831"/>
      <c r="AO231" s="1831"/>
      <c r="AP231" s="1831"/>
      <c r="AQ231" s="1831"/>
      <c r="AR231" s="1831"/>
      <c r="AS231" s="1831"/>
      <c r="AT231" s="1831"/>
      <c r="AU231" s="1831"/>
      <c r="AV231" s="1831"/>
      <c r="AW231" s="1831"/>
      <c r="AX231" s="1831"/>
      <c r="AY231" s="1831"/>
      <c r="AZ231" s="1831"/>
      <c r="BA231" s="1831"/>
      <c r="BB231" s="1831"/>
      <c r="BC231" s="1831"/>
      <c r="BD231" s="1831"/>
      <c r="BE231" s="1831"/>
      <c r="BF231" s="1831"/>
      <c r="BG231" s="1644"/>
    </row>
    <row customHeight="1" ht="11.25">
      <c r="A232" s="1175" t="s">
        <v>1036</v>
      </c>
      <c r="B232" s="1175"/>
      <c r="C232" s="1175"/>
      <c r="D232" s="1169"/>
      <c r="E232" s="1179"/>
      <c r="F232" s="1837"/>
      <c r="G232" s="1838"/>
      <c r="H232" s="2543" t="s">
        <v>1180</v>
      </c>
      <c r="I232" s="2544"/>
      <c r="J232" s="2513"/>
      <c r="K232" s="2545"/>
      <c r="L232" s="2135"/>
      <c r="M232" s="2136"/>
      <c r="N232" s="1184"/>
      <c r="O232" s="1185"/>
      <c r="P232" s="1177" t="s">
        <v>1083</v>
      </c>
      <c r="Q232" s="1185"/>
      <c r="R232" s="1185"/>
      <c r="S232" s="1185"/>
      <c r="T232" s="1185"/>
      <c r="U232" s="1185"/>
      <c r="V232" s="1185"/>
      <c r="W232" s="1185"/>
      <c r="X232" s="1185"/>
      <c r="Y232" s="1185"/>
      <c r="Z232" s="1185"/>
      <c r="AA232" s="1185"/>
      <c r="AB232" s="1185"/>
      <c r="AC232" s="1185"/>
      <c r="AD232" s="1185"/>
      <c r="AE232" s="1192"/>
      <c r="AF232" s="2534"/>
      <c r="AG232" s="2535"/>
      <c r="AH232" s="2535"/>
      <c r="AI232" s="2534"/>
      <c r="AJ232" s="2535"/>
      <c r="AK232" s="2535"/>
      <c r="AL232" s="1994"/>
      <c r="AM232" s="1831"/>
      <c r="AN232" s="1831"/>
      <c r="AO232" s="1831"/>
      <c r="AP232" s="1831"/>
      <c r="AQ232" s="1831"/>
      <c r="AR232" s="1831"/>
      <c r="AS232" s="1831"/>
      <c r="AT232" s="1831"/>
      <c r="AU232" s="1831"/>
      <c r="AV232" s="1831"/>
      <c r="AW232" s="1831"/>
      <c r="AX232" s="1831"/>
      <c r="AY232" s="1831"/>
      <c r="AZ232" s="1831"/>
      <c r="BA232" s="1831"/>
      <c r="BB232" s="1831"/>
      <c r="BC232" s="1831"/>
      <c r="BD232" s="1831"/>
      <c r="BE232" s="1831"/>
      <c r="BF232" s="1831"/>
      <c r="BG232" s="1644"/>
    </row>
    <row customHeight="1" ht="11.25">
      <c r="A233" s="1175" t="s">
        <v>1036</v>
      </c>
      <c r="B233" s="1175" t="s">
        <v>1165</v>
      </c>
      <c r="C233" s="1175"/>
      <c r="D233" s="1169"/>
      <c r="E233" s="1179"/>
      <c r="F233" s="1837"/>
      <c r="G233" s="692" t="s">
        <v>104</v>
      </c>
      <c r="H233" s="2543" t="s">
        <v>1184</v>
      </c>
      <c r="I233" s="2544" t="s">
        <v>1167</v>
      </c>
      <c r="J233" s="2513" t="s">
        <v>1173</v>
      </c>
      <c r="K233" s="2545" t="s">
        <v>1185</v>
      </c>
      <c r="L233" s="2135" t="s">
        <v>19</v>
      </c>
      <c r="M233" s="2136"/>
      <c r="N233" s="1992"/>
      <c r="O233" s="1186" t="s">
        <v>391</v>
      </c>
      <c r="P233" s="1187"/>
      <c r="Q233" s="1187"/>
      <c r="R233" s="1187"/>
      <c r="S233" s="1187"/>
      <c r="T233" s="1187"/>
      <c r="U233" s="1187"/>
      <c r="V233" s="1187"/>
      <c r="W233" s="1187"/>
      <c r="X233" s="1187"/>
      <c r="Y233" s="1187"/>
      <c r="Z233" s="1187"/>
      <c r="AA233" s="1187"/>
      <c r="AB233" s="1187"/>
      <c r="AC233" s="1187"/>
      <c r="AD233" s="1187"/>
      <c r="AE233" s="1187"/>
      <c r="AF233" s="2534">
        <v>1</v>
      </c>
      <c r="AG233" s="2535" t="s">
        <v>1094</v>
      </c>
      <c r="AH233" s="2535" t="s">
        <v>1085</v>
      </c>
      <c r="AI233" s="2534">
        <v>1</v>
      </c>
      <c r="AJ233" s="2535" t="s">
        <v>1177</v>
      </c>
      <c r="AK233" s="2535" t="s">
        <v>1085</v>
      </c>
      <c r="AL233" s="1994"/>
      <c r="AM233" s="1831"/>
      <c r="AN233" s="1831"/>
      <c r="AO233" s="1831"/>
      <c r="AP233" s="1831"/>
      <c r="AQ233" s="1831"/>
      <c r="AR233" s="1831"/>
      <c r="AS233" s="1831"/>
      <c r="AT233" s="1831"/>
      <c r="AU233" s="1831"/>
      <c r="AV233" s="1831"/>
      <c r="AW233" s="1831"/>
      <c r="AX233" s="1831"/>
      <c r="AY233" s="1831"/>
      <c r="AZ233" s="1831"/>
      <c r="BA233" s="1831"/>
      <c r="BB233" s="1831"/>
      <c r="BC233" s="1831"/>
      <c r="BD233" s="1831"/>
      <c r="BE233" s="1831"/>
      <c r="BF233" s="1831"/>
      <c r="BG233" s="1644"/>
    </row>
    <row customHeight="1" ht="11.25">
      <c r="A234" s="1175" t="s">
        <v>1036</v>
      </c>
      <c r="B234" s="1175"/>
      <c r="C234" s="1175"/>
      <c r="D234" s="1169"/>
      <c r="E234" s="1179"/>
      <c r="F234" s="1837"/>
      <c r="G234" s="1838"/>
      <c r="H234" s="2543" t="s">
        <v>1182</v>
      </c>
      <c r="I234" s="2544"/>
      <c r="J234" s="2513"/>
      <c r="K234" s="2545"/>
      <c r="L234" s="2135"/>
      <c r="M234" s="2136"/>
      <c r="N234" s="2536"/>
      <c r="O234" s="2537">
        <v>1</v>
      </c>
      <c r="P234" s="2538" t="s">
        <v>63</v>
      </c>
      <c r="Q234" s="2725" t="s">
        <v>1096</v>
      </c>
      <c r="R234" s="2726" t="s">
        <v>1097</v>
      </c>
      <c r="S234" s="2726" t="s">
        <v>106</v>
      </c>
      <c r="T234" s="2726" t="s">
        <v>106</v>
      </c>
      <c r="U234" s="2726" t="s">
        <v>107</v>
      </c>
      <c r="V234" s="2726" t="s">
        <v>1077</v>
      </c>
      <c r="W234" s="2726" t="s">
        <v>1078</v>
      </c>
      <c r="X234" s="2726" t="s">
        <v>1098</v>
      </c>
      <c r="Y234" s="2726" t="s">
        <v>1099</v>
      </c>
      <c r="Z234" s="1184"/>
      <c r="AA234" s="1185"/>
      <c r="AB234" s="1185"/>
      <c r="AC234" s="1189"/>
      <c r="AD234" s="1189"/>
      <c r="AE234" s="1190"/>
      <c r="AF234" s="2534"/>
      <c r="AG234" s="2535"/>
      <c r="AH234" s="2535"/>
      <c r="AI234" s="2534"/>
      <c r="AJ234" s="2535"/>
      <c r="AK234" s="2535"/>
      <c r="AL234" s="1994"/>
      <c r="AM234" s="1831"/>
      <c r="AN234" s="1831"/>
      <c r="AO234" s="1831"/>
      <c r="AP234" s="1831"/>
      <c r="AQ234" s="1831"/>
      <c r="AR234" s="1831"/>
      <c r="AS234" s="1831"/>
      <c r="AT234" s="1831"/>
      <c r="AU234" s="1831"/>
      <c r="AV234" s="1831"/>
      <c r="AW234" s="1831"/>
      <c r="AX234" s="1831"/>
      <c r="AY234" s="1831"/>
      <c r="AZ234" s="1831"/>
      <c r="BA234" s="1831"/>
      <c r="BB234" s="1831"/>
      <c r="BC234" s="1831"/>
      <c r="BD234" s="1831"/>
      <c r="BE234" s="1831"/>
      <c r="BF234" s="1831"/>
      <c r="BG234" s="1644"/>
    </row>
    <row customHeight="1" ht="11.25">
      <c r="A235" s="1175" t="s">
        <v>1036</v>
      </c>
      <c r="B235" s="1175"/>
      <c r="C235" s="1175"/>
      <c r="D235" s="1169"/>
      <c r="E235" s="1179"/>
      <c r="F235" s="1837"/>
      <c r="G235" s="1838"/>
      <c r="H235" s="2543" t="s">
        <v>1182</v>
      </c>
      <c r="I235" s="2544"/>
      <c r="J235" s="2513"/>
      <c r="K235" s="2545"/>
      <c r="L235" s="2135"/>
      <c r="M235" s="2136"/>
      <c r="N235" s="2536"/>
      <c r="O235" s="2537"/>
      <c r="P235" s="2539"/>
      <c r="Q235" s="2725"/>
      <c r="R235" s="2541"/>
      <c r="S235" s="2542"/>
      <c r="T235" s="2541"/>
      <c r="U235" s="2541"/>
      <c r="V235" s="2541"/>
      <c r="W235" s="2541"/>
      <c r="X235" s="2541"/>
      <c r="Y235" s="2541"/>
      <c r="Z235" s="1836"/>
      <c r="AA235" s="1802">
        <v>1</v>
      </c>
      <c r="AB235" s="1188" t="s">
        <v>1164</v>
      </c>
      <c r="AC235" s="1178">
        <v>1674.35</v>
      </c>
      <c r="AD235" s="1188" t="str">
        <f>AB235</f>
        <v>  За счет платы за технологическое присоединение</v>
      </c>
      <c r="AE235" s="1178">
        <v>1673.78</v>
      </c>
      <c r="AF235" s="2534"/>
      <c r="AG235" s="2535"/>
      <c r="AH235" s="2535"/>
      <c r="AI235" s="2534"/>
      <c r="AJ235" s="2535"/>
      <c r="AK235" s="2535"/>
      <c r="AL235" s="1994"/>
      <c r="AM235" s="1831"/>
      <c r="AN235" s="1831"/>
      <c r="AO235" s="1831"/>
      <c r="AP235" s="1831"/>
      <c r="AQ235" s="1831"/>
      <c r="AR235" s="1831"/>
      <c r="AS235" s="1831"/>
      <c r="AT235" s="1831"/>
      <c r="AU235" s="1831"/>
      <c r="AV235" s="1831"/>
      <c r="AW235" s="1831"/>
      <c r="AX235" s="1831"/>
      <c r="AY235" s="1831"/>
      <c r="AZ235" s="1831"/>
      <c r="BA235" s="1831"/>
      <c r="BB235" s="1831"/>
      <c r="BC235" s="1831"/>
      <c r="BD235" s="1831"/>
      <c r="BE235" s="1831"/>
      <c r="BF235" s="1831"/>
      <c r="BG235" s="1644"/>
    </row>
    <row customHeight="1" ht="11.25">
      <c r="A236" s="1175" t="s">
        <v>1036</v>
      </c>
      <c r="B236" s="1175"/>
      <c r="C236" s="1175"/>
      <c r="D236" s="1169"/>
      <c r="E236" s="1179"/>
      <c r="F236" s="1837"/>
      <c r="G236" s="1838"/>
      <c r="H236" s="2543" t="s">
        <v>1182</v>
      </c>
      <c r="I236" s="2544"/>
      <c r="J236" s="2513"/>
      <c r="K236" s="2545"/>
      <c r="L236" s="2135"/>
      <c r="M236" s="2136"/>
      <c r="N236" s="2536"/>
      <c r="O236" s="2537"/>
      <c r="P236" s="2540"/>
      <c r="Q236" s="2725"/>
      <c r="R236" s="2541"/>
      <c r="S236" s="2542"/>
      <c r="T236" s="2541"/>
      <c r="U236" s="2541"/>
      <c r="V236" s="2541"/>
      <c r="W236" s="2541"/>
      <c r="X236" s="2541"/>
      <c r="Y236" s="2541"/>
      <c r="Z236" s="1184"/>
      <c r="AA236" s="1185"/>
      <c r="AB236" s="1250" t="s">
        <v>1082</v>
      </c>
      <c r="AC236" s="1189"/>
      <c r="AD236" s="1189"/>
      <c r="AE236" s="1191"/>
      <c r="AF236" s="2534"/>
      <c r="AG236" s="2535"/>
      <c r="AH236" s="2535"/>
      <c r="AI236" s="2534"/>
      <c r="AJ236" s="2535"/>
      <c r="AK236" s="2535"/>
      <c r="AL236" s="1994"/>
      <c r="AM236" s="1831"/>
      <c r="AN236" s="1831"/>
      <c r="AO236" s="1831"/>
      <c r="AP236" s="1831"/>
      <c r="AQ236" s="1831"/>
      <c r="AR236" s="1831"/>
      <c r="AS236" s="1831"/>
      <c r="AT236" s="1831"/>
      <c r="AU236" s="1831"/>
      <c r="AV236" s="1831"/>
      <c r="AW236" s="1831"/>
      <c r="AX236" s="1831"/>
      <c r="AY236" s="1831"/>
      <c r="AZ236" s="1831"/>
      <c r="BA236" s="1831"/>
      <c r="BB236" s="1831"/>
      <c r="BC236" s="1831"/>
      <c r="BD236" s="1831"/>
      <c r="BE236" s="1831"/>
      <c r="BF236" s="1831"/>
      <c r="BG236" s="1644"/>
    </row>
    <row customHeight="1" ht="11.25">
      <c r="A237" s="1175" t="s">
        <v>1036</v>
      </c>
      <c r="B237" s="1175"/>
      <c r="C237" s="1175"/>
      <c r="D237" s="1169"/>
      <c r="E237" s="1179"/>
      <c r="F237" s="1837"/>
      <c r="G237" s="1838"/>
      <c r="H237" s="2543" t="s">
        <v>1182</v>
      </c>
      <c r="I237" s="2544"/>
      <c r="J237" s="2513"/>
      <c r="K237" s="2545"/>
      <c r="L237" s="2135"/>
      <c r="M237" s="2136"/>
      <c r="N237" s="1184"/>
      <c r="O237" s="1185"/>
      <c r="P237" s="1177" t="s">
        <v>1083</v>
      </c>
      <c r="Q237" s="1185"/>
      <c r="R237" s="1185"/>
      <c r="S237" s="1185"/>
      <c r="T237" s="1185"/>
      <c r="U237" s="1185"/>
      <c r="V237" s="1185"/>
      <c r="W237" s="1185"/>
      <c r="X237" s="1185"/>
      <c r="Y237" s="1185"/>
      <c r="Z237" s="1185"/>
      <c r="AA237" s="1185"/>
      <c r="AB237" s="1185"/>
      <c r="AC237" s="1185"/>
      <c r="AD237" s="1185"/>
      <c r="AE237" s="1192"/>
      <c r="AF237" s="2534"/>
      <c r="AG237" s="2535"/>
      <c r="AH237" s="2535"/>
      <c r="AI237" s="2534"/>
      <c r="AJ237" s="2535"/>
      <c r="AK237" s="2535"/>
      <c r="AL237" s="1994"/>
      <c r="AM237" s="1831"/>
      <c r="AN237" s="1831"/>
      <c r="AO237" s="1831"/>
      <c r="AP237" s="1831"/>
      <c r="AQ237" s="1831"/>
      <c r="AR237" s="1831"/>
      <c r="AS237" s="1831"/>
      <c r="AT237" s="1831"/>
      <c r="AU237" s="1831"/>
      <c r="AV237" s="1831"/>
      <c r="AW237" s="1831"/>
      <c r="AX237" s="1831"/>
      <c r="AY237" s="1831"/>
      <c r="AZ237" s="1831"/>
      <c r="BA237" s="1831"/>
      <c r="BB237" s="1831"/>
      <c r="BC237" s="1831"/>
      <c r="BD237" s="1831"/>
      <c r="BE237" s="1831"/>
      <c r="BF237" s="1831"/>
      <c r="BG237" s="1644"/>
    </row>
    <row customHeight="1" ht="11.25">
      <c r="A238" s="1175" t="s">
        <v>1036</v>
      </c>
      <c r="B238" s="1175" t="s">
        <v>1165</v>
      </c>
      <c r="C238" s="1175"/>
      <c r="D238" s="1169"/>
      <c r="E238" s="1179"/>
      <c r="F238" s="1837"/>
      <c r="G238" s="692" t="s">
        <v>104</v>
      </c>
      <c r="H238" s="2543" t="s">
        <v>1186</v>
      </c>
      <c r="I238" s="2544" t="s">
        <v>1167</v>
      </c>
      <c r="J238" s="2513" t="s">
        <v>1173</v>
      </c>
      <c r="K238" s="2545" t="s">
        <v>1187</v>
      </c>
      <c r="L238" s="2135" t="s">
        <v>19</v>
      </c>
      <c r="M238" s="2136"/>
      <c r="N238" s="1992"/>
      <c r="O238" s="1186" t="s">
        <v>391</v>
      </c>
      <c r="P238" s="1187"/>
      <c r="Q238" s="1187"/>
      <c r="R238" s="1187"/>
      <c r="S238" s="1187"/>
      <c r="T238" s="1187"/>
      <c r="U238" s="1187"/>
      <c r="V238" s="1187"/>
      <c r="W238" s="1187"/>
      <c r="X238" s="1187"/>
      <c r="Y238" s="1187"/>
      <c r="Z238" s="1187"/>
      <c r="AA238" s="1187"/>
      <c r="AB238" s="1187"/>
      <c r="AC238" s="1187"/>
      <c r="AD238" s="1187"/>
      <c r="AE238" s="1187"/>
      <c r="AF238" s="2534">
        <v>2</v>
      </c>
      <c r="AG238" s="2535" t="s">
        <v>1094</v>
      </c>
      <c r="AH238" s="2535" t="s">
        <v>1073</v>
      </c>
      <c r="AI238" s="2906">
        <v>1</v>
      </c>
      <c r="AJ238" s="2535" t="s">
        <v>1072</v>
      </c>
      <c r="AK238" s="2535" t="s">
        <v>1085</v>
      </c>
      <c r="AL238" s="1994"/>
      <c r="AM238" s="1831"/>
      <c r="AN238" s="1831"/>
      <c r="AO238" s="1831"/>
      <c r="AP238" s="1831"/>
      <c r="AQ238" s="1831"/>
      <c r="AR238" s="1831"/>
      <c r="AS238" s="1831"/>
      <c r="AT238" s="1831"/>
      <c r="AU238" s="1831"/>
      <c r="AV238" s="1831"/>
      <c r="AW238" s="1831"/>
      <c r="AX238" s="1831"/>
      <c r="AY238" s="1831"/>
      <c r="AZ238" s="1831"/>
      <c r="BA238" s="1831"/>
      <c r="BB238" s="1831"/>
      <c r="BC238" s="1831"/>
      <c r="BD238" s="1831"/>
      <c r="BE238" s="1831"/>
      <c r="BF238" s="1831"/>
      <c r="BG238" s="1644"/>
    </row>
    <row customHeight="1" ht="11.25">
      <c r="A239" s="1175" t="s">
        <v>1036</v>
      </c>
      <c r="B239" s="1175"/>
      <c r="C239" s="1175"/>
      <c r="D239" s="1169"/>
      <c r="E239" s="1179"/>
      <c r="F239" s="1837"/>
      <c r="G239" s="1838"/>
      <c r="H239" s="2543" t="s">
        <v>1184</v>
      </c>
      <c r="I239" s="2544"/>
      <c r="J239" s="2513"/>
      <c r="K239" s="2545"/>
      <c r="L239" s="2135"/>
      <c r="M239" s="2136"/>
      <c r="N239" s="2536"/>
      <c r="O239" s="2537">
        <v>1</v>
      </c>
      <c r="P239" s="2538" t="s">
        <v>63</v>
      </c>
      <c r="Q239" s="2725" t="s">
        <v>1096</v>
      </c>
      <c r="R239" s="2726" t="s">
        <v>1097</v>
      </c>
      <c r="S239" s="2726" t="s">
        <v>106</v>
      </c>
      <c r="T239" s="2726" t="s">
        <v>106</v>
      </c>
      <c r="U239" s="2726" t="s">
        <v>107</v>
      </c>
      <c r="V239" s="2726" t="s">
        <v>1077</v>
      </c>
      <c r="W239" s="2726" t="s">
        <v>1078</v>
      </c>
      <c r="X239" s="2726" t="s">
        <v>1098</v>
      </c>
      <c r="Y239" s="2726" t="s">
        <v>1099</v>
      </c>
      <c r="Z239" s="1184"/>
      <c r="AA239" s="1185"/>
      <c r="AB239" s="1185"/>
      <c r="AC239" s="1189"/>
      <c r="AD239" s="1189"/>
      <c r="AE239" s="1190"/>
      <c r="AF239" s="2534"/>
      <c r="AG239" s="2535"/>
      <c r="AH239" s="2535"/>
      <c r="AI239" s="2906"/>
      <c r="AJ239" s="2535"/>
      <c r="AK239" s="2535"/>
      <c r="AL239" s="1994"/>
      <c r="AM239" s="1831"/>
      <c r="AN239" s="1831"/>
      <c r="AO239" s="1831"/>
      <c r="AP239" s="1831"/>
      <c r="AQ239" s="1831"/>
      <c r="AR239" s="1831"/>
      <c r="AS239" s="1831"/>
      <c r="AT239" s="1831"/>
      <c r="AU239" s="1831"/>
      <c r="AV239" s="1831"/>
      <c r="AW239" s="1831"/>
      <c r="AX239" s="1831"/>
      <c r="AY239" s="1831"/>
      <c r="AZ239" s="1831"/>
      <c r="BA239" s="1831"/>
      <c r="BB239" s="1831"/>
      <c r="BC239" s="1831"/>
      <c r="BD239" s="1831"/>
      <c r="BE239" s="1831"/>
      <c r="BF239" s="1831"/>
      <c r="BG239" s="1644"/>
    </row>
    <row customHeight="1" ht="11.25">
      <c r="A240" s="1175" t="s">
        <v>1036</v>
      </c>
      <c r="B240" s="1175"/>
      <c r="C240" s="1175"/>
      <c r="D240" s="1169"/>
      <c r="E240" s="1179"/>
      <c r="F240" s="1837"/>
      <c r="G240" s="1838"/>
      <c r="H240" s="2543" t="s">
        <v>1184</v>
      </c>
      <c r="I240" s="2544"/>
      <c r="J240" s="2513"/>
      <c r="K240" s="2545"/>
      <c r="L240" s="2135"/>
      <c r="M240" s="2136"/>
      <c r="N240" s="2536"/>
      <c r="O240" s="2537"/>
      <c r="P240" s="2539"/>
      <c r="Q240" s="2725"/>
      <c r="R240" s="2541"/>
      <c r="S240" s="2542"/>
      <c r="T240" s="2541"/>
      <c r="U240" s="2541"/>
      <c r="V240" s="2541"/>
      <c r="W240" s="2541"/>
      <c r="X240" s="2541"/>
      <c r="Y240" s="2541"/>
      <c r="Z240" s="1836"/>
      <c r="AA240" s="1802">
        <v>1</v>
      </c>
      <c r="AB240" s="1188" t="s">
        <v>1164</v>
      </c>
      <c r="AC240" s="1178">
        <v>17334.04</v>
      </c>
      <c r="AD240" s="1188" t="str">
        <f>AB240</f>
        <v>  За счет платы за технологическое присоединение</v>
      </c>
      <c r="AE240" s="1178">
        <v>17334.04</v>
      </c>
      <c r="AF240" s="2534"/>
      <c r="AG240" s="2535"/>
      <c r="AH240" s="2535"/>
      <c r="AI240" s="2906"/>
      <c r="AJ240" s="2535"/>
      <c r="AK240" s="2535"/>
      <c r="AL240" s="1994"/>
      <c r="AM240" s="1831"/>
      <c r="AN240" s="1831"/>
      <c r="AO240" s="1831"/>
      <c r="AP240" s="1831"/>
      <c r="AQ240" s="1831"/>
      <c r="AR240" s="1831"/>
      <c r="AS240" s="1831"/>
      <c r="AT240" s="1831"/>
      <c r="AU240" s="1831"/>
      <c r="AV240" s="1831"/>
      <c r="AW240" s="1831"/>
      <c r="AX240" s="1831"/>
      <c r="AY240" s="1831"/>
      <c r="AZ240" s="1831"/>
      <c r="BA240" s="1831"/>
      <c r="BB240" s="1831"/>
      <c r="BC240" s="1831"/>
      <c r="BD240" s="1831"/>
      <c r="BE240" s="1831"/>
      <c r="BF240" s="1831"/>
      <c r="BG240" s="1644"/>
    </row>
    <row customHeight="1" ht="11.25">
      <c r="A241" s="1175" t="s">
        <v>1036</v>
      </c>
      <c r="B241" s="1175"/>
      <c r="C241" s="1175"/>
      <c r="D241" s="1169"/>
      <c r="E241" s="1179"/>
      <c r="F241" s="1838"/>
      <c r="G241" s="1838"/>
      <c r="H241" s="1838"/>
      <c r="I241" s="1838"/>
      <c r="J241" s="1838"/>
      <c r="K241" s="1838"/>
      <c r="L241" s="1838"/>
      <c r="M241" s="1838"/>
      <c r="N241" s="1838"/>
      <c r="O241" s="1838"/>
      <c r="P241" s="1838"/>
      <c r="Q241" s="1838"/>
      <c r="R241" s="1838"/>
      <c r="S241" s="1838"/>
      <c r="T241" s="1838"/>
      <c r="U241" s="1838"/>
      <c r="V241" s="1838"/>
      <c r="W241" s="1838"/>
      <c r="X241" s="1838"/>
      <c r="Y241" s="1838"/>
      <c r="Z241" s="692" t="s">
        <v>104</v>
      </c>
      <c r="AA241" s="1822" t="s">
        <v>103</v>
      </c>
      <c r="AB241" s="1188" t="s">
        <v>1091</v>
      </c>
      <c r="AC241" s="1178">
        <v>2638.47</v>
      </c>
      <c r="AD241" s="1188" t="str">
        <f>AB241</f>
        <v>  Прочие собственные средства</v>
      </c>
      <c r="AE241" s="1178">
        <v>3783.33</v>
      </c>
      <c r="AF241" s="2095"/>
      <c r="AG241" s="1767"/>
      <c r="AH241" s="1767"/>
      <c r="AI241" s="2908"/>
      <c r="AJ241" s="1767"/>
      <c r="AK241" s="1993"/>
      <c r="AL241" s="1994"/>
      <c r="AM241" s="1831"/>
      <c r="AN241" s="1831"/>
      <c r="AO241" s="1831"/>
      <c r="AP241" s="1831"/>
      <c r="AQ241" s="1831"/>
      <c r="AR241" s="1831"/>
      <c r="AS241" s="1831"/>
      <c r="AT241" s="1831"/>
      <c r="AU241" s="1831"/>
      <c r="AV241" s="1831"/>
      <c r="AW241" s="1831"/>
      <c r="AX241" s="1831"/>
      <c r="AY241" s="1831"/>
      <c r="AZ241" s="1831"/>
      <c r="BA241" s="1831"/>
      <c r="BB241" s="1831"/>
      <c r="BC241" s="1831"/>
      <c r="BD241" s="1831"/>
      <c r="BE241" s="1831"/>
      <c r="BF241" s="1831"/>
      <c r="BG241" s="1644"/>
    </row>
    <row customHeight="1" ht="11.25">
      <c r="A242" s="1175" t="s">
        <v>1036</v>
      </c>
      <c r="B242" s="1175"/>
      <c r="C242" s="1175"/>
      <c r="D242" s="1169"/>
      <c r="E242" s="1179"/>
      <c r="F242" s="1837"/>
      <c r="G242" s="1838"/>
      <c r="H242" s="2543" t="s">
        <v>1184</v>
      </c>
      <c r="I242" s="2544"/>
      <c r="J242" s="2513"/>
      <c r="K242" s="2545"/>
      <c r="L242" s="2135"/>
      <c r="M242" s="2136"/>
      <c r="N242" s="2536"/>
      <c r="O242" s="2537"/>
      <c r="P242" s="2540"/>
      <c r="Q242" s="2725"/>
      <c r="R242" s="2541"/>
      <c r="S242" s="2542"/>
      <c r="T242" s="2541"/>
      <c r="U242" s="2541"/>
      <c r="V242" s="2541"/>
      <c r="W242" s="2541"/>
      <c r="X242" s="2541"/>
      <c r="Y242" s="2541"/>
      <c r="Z242" s="1184"/>
      <c r="AA242" s="1185"/>
      <c r="AB242" s="1250" t="s">
        <v>1082</v>
      </c>
      <c r="AC242" s="1189"/>
      <c r="AD242" s="1189"/>
      <c r="AE242" s="1191"/>
      <c r="AF242" s="2534"/>
      <c r="AG242" s="2535"/>
      <c r="AH242" s="2535"/>
      <c r="AI242" s="2906"/>
      <c r="AJ242" s="2535"/>
      <c r="AK242" s="2535"/>
      <c r="AL242" s="1994"/>
      <c r="AM242" s="1831"/>
      <c r="AN242" s="1831"/>
      <c r="AO242" s="1831"/>
      <c r="AP242" s="1831"/>
      <c r="AQ242" s="1831"/>
      <c r="AR242" s="1831"/>
      <c r="AS242" s="1831"/>
      <c r="AT242" s="1831"/>
      <c r="AU242" s="1831"/>
      <c r="AV242" s="1831"/>
      <c r="AW242" s="1831"/>
      <c r="AX242" s="1831"/>
      <c r="AY242" s="1831"/>
      <c r="AZ242" s="1831"/>
      <c r="BA242" s="1831"/>
      <c r="BB242" s="1831"/>
      <c r="BC242" s="1831"/>
      <c r="BD242" s="1831"/>
      <c r="BE242" s="1831"/>
      <c r="BF242" s="1831"/>
      <c r="BG242" s="1644"/>
    </row>
    <row customHeight="1" ht="11.25">
      <c r="A243" s="1175" t="s">
        <v>1036</v>
      </c>
      <c r="B243" s="1175"/>
      <c r="C243" s="1175"/>
      <c r="D243" s="1169"/>
      <c r="E243" s="1179"/>
      <c r="F243" s="1837"/>
      <c r="G243" s="1838"/>
      <c r="H243" s="2543" t="s">
        <v>1184</v>
      </c>
      <c r="I243" s="2544"/>
      <c r="J243" s="2513"/>
      <c r="K243" s="2545"/>
      <c r="L243" s="2135"/>
      <c r="M243" s="2136"/>
      <c r="N243" s="1184"/>
      <c r="O243" s="1185"/>
      <c r="P243" s="1177" t="s">
        <v>1083</v>
      </c>
      <c r="Q243" s="1185"/>
      <c r="R243" s="1185"/>
      <c r="S243" s="1185"/>
      <c r="T243" s="1185"/>
      <c r="U243" s="1185"/>
      <c r="V243" s="1185"/>
      <c r="W243" s="1185"/>
      <c r="X243" s="1185"/>
      <c r="Y243" s="1185"/>
      <c r="Z243" s="1185"/>
      <c r="AA243" s="1185"/>
      <c r="AB243" s="1185"/>
      <c r="AC243" s="1185"/>
      <c r="AD243" s="1185"/>
      <c r="AE243" s="1192"/>
      <c r="AF243" s="2534"/>
      <c r="AG243" s="2535"/>
      <c r="AH243" s="2535"/>
      <c r="AI243" s="2906"/>
      <c r="AJ243" s="2535"/>
      <c r="AK243" s="2535"/>
      <c r="AL243" s="1994"/>
      <c r="AM243" s="1831"/>
      <c r="AN243" s="1831"/>
      <c r="AO243" s="1831"/>
      <c r="AP243" s="1831"/>
      <c r="AQ243" s="1831"/>
      <c r="AR243" s="1831"/>
      <c r="AS243" s="1831"/>
      <c r="AT243" s="1831"/>
      <c r="AU243" s="1831"/>
      <c r="AV243" s="1831"/>
      <c r="AW243" s="1831"/>
      <c r="AX243" s="1831"/>
      <c r="AY243" s="1831"/>
      <c r="AZ243" s="1831"/>
      <c r="BA243" s="1831"/>
      <c r="BB243" s="1831"/>
      <c r="BC243" s="1831"/>
      <c r="BD243" s="1831"/>
      <c r="BE243" s="1831"/>
      <c r="BF243" s="1831"/>
      <c r="BG243" s="1644"/>
    </row>
    <row customHeight="1" ht="11.25">
      <c r="A244" s="1175" t="s">
        <v>1036</v>
      </c>
      <c r="B244" s="1175" t="s">
        <v>1165</v>
      </c>
      <c r="C244" s="1175"/>
      <c r="D244" s="1169"/>
      <c r="E244" s="1179"/>
      <c r="F244" s="1837"/>
      <c r="G244" s="692" t="s">
        <v>104</v>
      </c>
      <c r="H244" s="2543" t="s">
        <v>1188</v>
      </c>
      <c r="I244" s="2544" t="s">
        <v>1167</v>
      </c>
      <c r="J244" s="2513" t="s">
        <v>1173</v>
      </c>
      <c r="K244" s="2545" t="s">
        <v>1189</v>
      </c>
      <c r="L244" s="2135" t="s">
        <v>19</v>
      </c>
      <c r="M244" s="2136"/>
      <c r="N244" s="1992"/>
      <c r="O244" s="1186" t="s">
        <v>391</v>
      </c>
      <c r="P244" s="1187"/>
      <c r="Q244" s="1187"/>
      <c r="R244" s="1187"/>
      <c r="S244" s="1187"/>
      <c r="T244" s="1187"/>
      <c r="U244" s="1187"/>
      <c r="V244" s="1187"/>
      <c r="W244" s="1187"/>
      <c r="X244" s="1187"/>
      <c r="Y244" s="1187"/>
      <c r="Z244" s="1187"/>
      <c r="AA244" s="1187"/>
      <c r="AB244" s="1187"/>
      <c r="AC244" s="1187"/>
      <c r="AD244" s="1187"/>
      <c r="AE244" s="1187"/>
      <c r="AF244" s="2534">
        <v>2</v>
      </c>
      <c r="AG244" s="2535" t="s">
        <v>1094</v>
      </c>
      <c r="AH244" s="2535" t="s">
        <v>1073</v>
      </c>
      <c r="AI244" s="2724"/>
      <c r="AJ244" s="2535" t="s">
        <v>1074</v>
      </c>
      <c r="AK244" s="2535" t="s">
        <v>1074</v>
      </c>
      <c r="AL244" s="1994"/>
      <c r="AM244" s="1831"/>
      <c r="AN244" s="1831"/>
      <c r="AO244" s="1831"/>
      <c r="AP244" s="1831"/>
      <c r="AQ244" s="1831"/>
      <c r="AR244" s="1831"/>
      <c r="AS244" s="1831"/>
      <c r="AT244" s="1831"/>
      <c r="AU244" s="1831"/>
      <c r="AV244" s="1831"/>
      <c r="AW244" s="1831"/>
      <c r="AX244" s="1831"/>
      <c r="AY244" s="1831"/>
      <c r="AZ244" s="1831"/>
      <c r="BA244" s="1831"/>
      <c r="BB244" s="1831"/>
      <c r="BC244" s="1831"/>
      <c r="BD244" s="1831"/>
      <c r="BE244" s="1831"/>
      <c r="BF244" s="1831"/>
      <c r="BG244" s="1644"/>
    </row>
    <row customHeight="1" ht="11.25">
      <c r="A245" s="1175" t="s">
        <v>1036</v>
      </c>
      <c r="B245" s="1175"/>
      <c r="C245" s="1175"/>
      <c r="D245" s="1169"/>
      <c r="E245" s="1179"/>
      <c r="F245" s="1837"/>
      <c r="G245" s="1838"/>
      <c r="H245" s="2543" t="s">
        <v>1186</v>
      </c>
      <c r="I245" s="2544"/>
      <c r="J245" s="2513"/>
      <c r="K245" s="2545"/>
      <c r="L245" s="2135"/>
      <c r="M245" s="2136"/>
      <c r="N245" s="2536"/>
      <c r="O245" s="2537">
        <v>1</v>
      </c>
      <c r="P245" s="2538" t="s">
        <v>63</v>
      </c>
      <c r="Q245" s="2725" t="s">
        <v>1112</v>
      </c>
      <c r="R245" s="2726" t="s">
        <v>1076</v>
      </c>
      <c r="S245" s="2726" t="s">
        <v>106</v>
      </c>
      <c r="T245" s="2726" t="s">
        <v>106</v>
      </c>
      <c r="U245" s="2726" t="s">
        <v>107</v>
      </c>
      <c r="V245" s="2726" t="s">
        <v>1077</v>
      </c>
      <c r="W245" s="2726" t="s">
        <v>1078</v>
      </c>
      <c r="X245" s="2726" t="s">
        <v>1113</v>
      </c>
      <c r="Y245" s="2726" t="s">
        <v>1114</v>
      </c>
      <c r="Z245" s="1184"/>
      <c r="AA245" s="1185"/>
      <c r="AB245" s="1185"/>
      <c r="AC245" s="1189"/>
      <c r="AD245" s="1189"/>
      <c r="AE245" s="1190"/>
      <c r="AF245" s="2534"/>
      <c r="AG245" s="2535"/>
      <c r="AH245" s="2535"/>
      <c r="AI245" s="2724"/>
      <c r="AJ245" s="2535"/>
      <c r="AK245" s="2535"/>
      <c r="AL245" s="1994"/>
      <c r="AM245" s="1831"/>
      <c r="AN245" s="1831"/>
      <c r="AO245" s="1831"/>
      <c r="AP245" s="1831"/>
      <c r="AQ245" s="1831"/>
      <c r="AR245" s="1831"/>
      <c r="AS245" s="1831"/>
      <c r="AT245" s="1831"/>
      <c r="AU245" s="1831"/>
      <c r="AV245" s="1831"/>
      <c r="AW245" s="1831"/>
      <c r="AX245" s="1831"/>
      <c r="AY245" s="1831"/>
      <c r="AZ245" s="1831"/>
      <c r="BA245" s="1831"/>
      <c r="BB245" s="1831"/>
      <c r="BC245" s="1831"/>
      <c r="BD245" s="1831"/>
      <c r="BE245" s="1831"/>
      <c r="BF245" s="1831"/>
      <c r="BG245" s="1644"/>
    </row>
    <row customHeight="1" ht="11.25">
      <c r="A246" s="1175" t="s">
        <v>1036</v>
      </c>
      <c r="B246" s="1175"/>
      <c r="C246" s="1175"/>
      <c r="D246" s="1169"/>
      <c r="E246" s="1179"/>
      <c r="F246" s="1837"/>
      <c r="G246" s="1838"/>
      <c r="H246" s="2543" t="s">
        <v>1186</v>
      </c>
      <c r="I246" s="2544"/>
      <c r="J246" s="2513"/>
      <c r="K246" s="2545"/>
      <c r="L246" s="2135"/>
      <c r="M246" s="2136"/>
      <c r="N246" s="2536"/>
      <c r="O246" s="2537"/>
      <c r="P246" s="2539"/>
      <c r="Q246" s="2725"/>
      <c r="R246" s="2541"/>
      <c r="S246" s="2542"/>
      <c r="T246" s="2541"/>
      <c r="U246" s="2541"/>
      <c r="V246" s="2541"/>
      <c r="W246" s="2541"/>
      <c r="X246" s="2541"/>
      <c r="Y246" s="2541"/>
      <c r="Z246" s="1836"/>
      <c r="AA246" s="1802">
        <v>1</v>
      </c>
      <c r="AB246" s="1188" t="s">
        <v>1164</v>
      </c>
      <c r="AC246" s="1178">
        <v>117394.31</v>
      </c>
      <c r="AD246" s="1188" t="str">
        <f>AB246</f>
        <v>  За счет платы за технологическое присоединение</v>
      </c>
      <c r="AE246" s="1178">
        <v>112248.67</v>
      </c>
      <c r="AF246" s="2534"/>
      <c r="AG246" s="2535"/>
      <c r="AH246" s="2535"/>
      <c r="AI246" s="2724"/>
      <c r="AJ246" s="2535"/>
      <c r="AK246" s="2535"/>
      <c r="AL246" s="1994"/>
      <c r="AM246" s="1831"/>
      <c r="AN246" s="1831"/>
      <c r="AO246" s="1831"/>
      <c r="AP246" s="1831"/>
      <c r="AQ246" s="1831"/>
      <c r="AR246" s="1831"/>
      <c r="AS246" s="1831"/>
      <c r="AT246" s="1831"/>
      <c r="AU246" s="1831"/>
      <c r="AV246" s="1831"/>
      <c r="AW246" s="1831"/>
      <c r="AX246" s="1831"/>
      <c r="AY246" s="1831"/>
      <c r="AZ246" s="1831"/>
      <c r="BA246" s="1831"/>
      <c r="BB246" s="1831"/>
      <c r="BC246" s="1831"/>
      <c r="BD246" s="1831"/>
      <c r="BE246" s="1831"/>
      <c r="BF246" s="1831"/>
      <c r="BG246" s="1644"/>
    </row>
    <row customHeight="1" ht="11.25">
      <c r="A247" s="1175" t="s">
        <v>1036</v>
      </c>
      <c r="B247" s="1175"/>
      <c r="C247" s="1175"/>
      <c r="D247" s="1169"/>
      <c r="E247" s="1179"/>
      <c r="F247" s="1838"/>
      <c r="G247" s="1838"/>
      <c r="H247" s="1838"/>
      <c r="I247" s="1838"/>
      <c r="J247" s="1838"/>
      <c r="K247" s="1838"/>
      <c r="L247" s="1838"/>
      <c r="M247" s="1838"/>
      <c r="N247" s="1838"/>
      <c r="O247" s="1838"/>
      <c r="P247" s="1838"/>
      <c r="Q247" s="1838"/>
      <c r="R247" s="1838"/>
      <c r="S247" s="1838"/>
      <c r="T247" s="1838"/>
      <c r="U247" s="1838"/>
      <c r="V247" s="1838"/>
      <c r="W247" s="1838"/>
      <c r="X247" s="1838"/>
      <c r="Y247" s="1838"/>
      <c r="Z247" s="692" t="s">
        <v>104</v>
      </c>
      <c r="AA247" s="1822" t="s">
        <v>103</v>
      </c>
      <c r="AB247" s="1188" t="s">
        <v>1091</v>
      </c>
      <c r="AC247" s="1178">
        <v>14957.59</v>
      </c>
      <c r="AD247" s="1188" t="str">
        <f>AB247</f>
        <v>  Прочие собственные средства</v>
      </c>
      <c r="AE247" s="1178">
        <v>2446.14</v>
      </c>
      <c r="AF247" s="2095"/>
      <c r="AG247" s="1767"/>
      <c r="AH247" s="1767"/>
      <c r="AI247" s="2728"/>
      <c r="AJ247" s="1767"/>
      <c r="AK247" s="1993"/>
      <c r="AL247" s="1994"/>
      <c r="AM247" s="1831"/>
      <c r="AN247" s="1831"/>
      <c r="AO247" s="1831"/>
      <c r="AP247" s="1831"/>
      <c r="AQ247" s="1831"/>
      <c r="AR247" s="1831"/>
      <c r="AS247" s="1831"/>
      <c r="AT247" s="1831"/>
      <c r="AU247" s="1831"/>
      <c r="AV247" s="1831"/>
      <c r="AW247" s="1831"/>
      <c r="AX247" s="1831"/>
      <c r="AY247" s="1831"/>
      <c r="AZ247" s="1831"/>
      <c r="BA247" s="1831"/>
      <c r="BB247" s="1831"/>
      <c r="BC247" s="1831"/>
      <c r="BD247" s="1831"/>
      <c r="BE247" s="1831"/>
      <c r="BF247" s="1831"/>
      <c r="BG247" s="1644"/>
    </row>
    <row customHeight="1" ht="11.25">
      <c r="A248" s="1175" t="s">
        <v>1036</v>
      </c>
      <c r="B248" s="1175"/>
      <c r="C248" s="1175"/>
      <c r="D248" s="1169"/>
      <c r="E248" s="1179"/>
      <c r="F248" s="1837"/>
      <c r="G248" s="1838"/>
      <c r="H248" s="2543" t="s">
        <v>1186</v>
      </c>
      <c r="I248" s="2544"/>
      <c r="J248" s="2513"/>
      <c r="K248" s="2545"/>
      <c r="L248" s="2135"/>
      <c r="M248" s="2136"/>
      <c r="N248" s="2536"/>
      <c r="O248" s="2537"/>
      <c r="P248" s="2540"/>
      <c r="Q248" s="2725"/>
      <c r="R248" s="2541"/>
      <c r="S248" s="2542"/>
      <c r="T248" s="2541"/>
      <c r="U248" s="2541"/>
      <c r="V248" s="2541"/>
      <c r="W248" s="2541"/>
      <c r="X248" s="2541"/>
      <c r="Y248" s="2541"/>
      <c r="Z248" s="1184"/>
      <c r="AA248" s="1185"/>
      <c r="AB248" s="1250" t="s">
        <v>1082</v>
      </c>
      <c r="AC248" s="1189"/>
      <c r="AD248" s="1189"/>
      <c r="AE248" s="1191"/>
      <c r="AF248" s="2534"/>
      <c r="AG248" s="2535"/>
      <c r="AH248" s="2535"/>
      <c r="AI248" s="2724"/>
      <c r="AJ248" s="2535"/>
      <c r="AK248" s="2535"/>
      <c r="AL248" s="1994"/>
      <c r="AM248" s="1831"/>
      <c r="AN248" s="1831"/>
      <c r="AO248" s="1831"/>
      <c r="AP248" s="1831"/>
      <c r="AQ248" s="1831"/>
      <c r="AR248" s="1831"/>
      <c r="AS248" s="1831"/>
      <c r="AT248" s="1831"/>
      <c r="AU248" s="1831"/>
      <c r="AV248" s="1831"/>
      <c r="AW248" s="1831"/>
      <c r="AX248" s="1831"/>
      <c r="AY248" s="1831"/>
      <c r="AZ248" s="1831"/>
      <c r="BA248" s="1831"/>
      <c r="BB248" s="1831"/>
      <c r="BC248" s="1831"/>
      <c r="BD248" s="1831"/>
      <c r="BE248" s="1831"/>
      <c r="BF248" s="1831"/>
      <c r="BG248" s="1644"/>
    </row>
    <row customHeight="1" ht="11.25">
      <c r="A249" s="1175" t="s">
        <v>1036</v>
      </c>
      <c r="B249" s="1175"/>
      <c r="C249" s="1175"/>
      <c r="D249" s="1169"/>
      <c r="E249" s="1179"/>
      <c r="F249" s="1837"/>
      <c r="G249" s="1838"/>
      <c r="H249" s="2543" t="s">
        <v>1186</v>
      </c>
      <c r="I249" s="2544"/>
      <c r="J249" s="2513"/>
      <c r="K249" s="2545"/>
      <c r="L249" s="2135"/>
      <c r="M249" s="2136"/>
      <c r="N249" s="1184"/>
      <c r="O249" s="1185"/>
      <c r="P249" s="1177" t="s">
        <v>1083</v>
      </c>
      <c r="Q249" s="1185"/>
      <c r="R249" s="1185"/>
      <c r="S249" s="1185"/>
      <c r="T249" s="1185"/>
      <c r="U249" s="1185"/>
      <c r="V249" s="1185"/>
      <c r="W249" s="1185"/>
      <c r="X249" s="1185"/>
      <c r="Y249" s="1185"/>
      <c r="Z249" s="1185"/>
      <c r="AA249" s="1185"/>
      <c r="AB249" s="1185"/>
      <c r="AC249" s="1185"/>
      <c r="AD249" s="1185"/>
      <c r="AE249" s="1192"/>
      <c r="AF249" s="2534"/>
      <c r="AG249" s="2535"/>
      <c r="AH249" s="2535"/>
      <c r="AI249" s="2724"/>
      <c r="AJ249" s="2535"/>
      <c r="AK249" s="2535"/>
      <c r="AL249" s="1994"/>
      <c r="AM249" s="1831"/>
      <c r="AN249" s="1831"/>
      <c r="AO249" s="1831"/>
      <c r="AP249" s="1831"/>
      <c r="AQ249" s="1831"/>
      <c r="AR249" s="1831"/>
      <c r="AS249" s="1831"/>
      <c r="AT249" s="1831"/>
      <c r="AU249" s="1831"/>
      <c r="AV249" s="1831"/>
      <c r="AW249" s="1831"/>
      <c r="AX249" s="1831"/>
      <c r="AY249" s="1831"/>
      <c r="AZ249" s="1831"/>
      <c r="BA249" s="1831"/>
      <c r="BB249" s="1831"/>
      <c r="BC249" s="1831"/>
      <c r="BD249" s="1831"/>
      <c r="BE249" s="1831"/>
      <c r="BF249" s="1831"/>
      <c r="BG249" s="1644"/>
    </row>
    <row customHeight="1" ht="11.25">
      <c r="A250" s="1175" t="s">
        <v>1036</v>
      </c>
      <c r="B250" s="1175" t="s">
        <v>1165</v>
      </c>
      <c r="C250" s="1175"/>
      <c r="D250" s="1169"/>
      <c r="E250" s="1179"/>
      <c r="F250" s="1837"/>
      <c r="G250" s="692" t="s">
        <v>104</v>
      </c>
      <c r="H250" s="2543" t="s">
        <v>1190</v>
      </c>
      <c r="I250" s="2544" t="s">
        <v>1167</v>
      </c>
      <c r="J250" s="2513" t="s">
        <v>1173</v>
      </c>
      <c r="K250" s="2545" t="s">
        <v>1191</v>
      </c>
      <c r="L250" s="2135" t="s">
        <v>19</v>
      </c>
      <c r="M250" s="2136"/>
      <c r="N250" s="1992"/>
      <c r="O250" s="1186" t="s">
        <v>391</v>
      </c>
      <c r="P250" s="1187"/>
      <c r="Q250" s="1187"/>
      <c r="R250" s="1187"/>
      <c r="S250" s="1187"/>
      <c r="T250" s="1187"/>
      <c r="U250" s="1187"/>
      <c r="V250" s="1187"/>
      <c r="W250" s="1187"/>
      <c r="X250" s="1187"/>
      <c r="Y250" s="1187"/>
      <c r="Z250" s="1187"/>
      <c r="AA250" s="1187"/>
      <c r="AB250" s="1187"/>
      <c r="AC250" s="1187"/>
      <c r="AD250" s="1187"/>
      <c r="AE250" s="1187"/>
      <c r="AF250" s="2534">
        <v>2</v>
      </c>
      <c r="AG250" s="2535" t="s">
        <v>1094</v>
      </c>
      <c r="AH250" s="2535" t="s">
        <v>1073</v>
      </c>
      <c r="AI250" s="2906">
        <v>1</v>
      </c>
      <c r="AJ250" s="2535" t="s">
        <v>1072</v>
      </c>
      <c r="AK250" s="2535" t="s">
        <v>1085</v>
      </c>
      <c r="AL250" s="1994"/>
      <c r="AM250" s="1831"/>
      <c r="AN250" s="1831"/>
      <c r="AO250" s="1831"/>
      <c r="AP250" s="1831"/>
      <c r="AQ250" s="1831"/>
      <c r="AR250" s="1831"/>
      <c r="AS250" s="1831"/>
      <c r="AT250" s="1831"/>
      <c r="AU250" s="1831"/>
      <c r="AV250" s="1831"/>
      <c r="AW250" s="1831"/>
      <c r="AX250" s="1831"/>
      <c r="AY250" s="1831"/>
      <c r="AZ250" s="1831"/>
      <c r="BA250" s="1831"/>
      <c r="BB250" s="1831"/>
      <c r="BC250" s="1831"/>
      <c r="BD250" s="1831"/>
      <c r="BE250" s="1831"/>
      <c r="BF250" s="1831"/>
      <c r="BG250" s="1644"/>
    </row>
    <row customHeight="1" ht="11.25">
      <c r="A251" s="1175" t="s">
        <v>1036</v>
      </c>
      <c r="B251" s="1175"/>
      <c r="C251" s="1175"/>
      <c r="D251" s="1169"/>
      <c r="E251" s="1179"/>
      <c r="F251" s="1837"/>
      <c r="G251" s="1838"/>
      <c r="H251" s="2543" t="s">
        <v>1188</v>
      </c>
      <c r="I251" s="2544"/>
      <c r="J251" s="2513"/>
      <c r="K251" s="2545"/>
      <c r="L251" s="2135"/>
      <c r="M251" s="2136"/>
      <c r="N251" s="2536"/>
      <c r="O251" s="2537">
        <v>1</v>
      </c>
      <c r="P251" s="2538" t="s">
        <v>63</v>
      </c>
      <c r="Q251" s="2725" t="s">
        <v>1112</v>
      </c>
      <c r="R251" s="2726" t="s">
        <v>1076</v>
      </c>
      <c r="S251" s="2726" t="s">
        <v>106</v>
      </c>
      <c r="T251" s="2726" t="s">
        <v>106</v>
      </c>
      <c r="U251" s="2726" t="s">
        <v>107</v>
      </c>
      <c r="V251" s="2726" t="s">
        <v>1077</v>
      </c>
      <c r="W251" s="2726" t="s">
        <v>1078</v>
      </c>
      <c r="X251" s="2726" t="s">
        <v>1113</v>
      </c>
      <c r="Y251" s="2726" t="s">
        <v>1114</v>
      </c>
      <c r="Z251" s="1184"/>
      <c r="AA251" s="1185"/>
      <c r="AB251" s="1185"/>
      <c r="AC251" s="1189"/>
      <c r="AD251" s="1189"/>
      <c r="AE251" s="1190"/>
      <c r="AF251" s="2534"/>
      <c r="AG251" s="2535"/>
      <c r="AH251" s="2535"/>
      <c r="AI251" s="2906"/>
      <c r="AJ251" s="2535"/>
      <c r="AK251" s="2535"/>
      <c r="AL251" s="1994"/>
      <c r="AM251" s="1831"/>
      <c r="AN251" s="1831"/>
      <c r="AO251" s="1831"/>
      <c r="AP251" s="1831"/>
      <c r="AQ251" s="1831"/>
      <c r="AR251" s="1831"/>
      <c r="AS251" s="1831"/>
      <c r="AT251" s="1831"/>
      <c r="AU251" s="1831"/>
      <c r="AV251" s="1831"/>
      <c r="AW251" s="1831"/>
      <c r="AX251" s="1831"/>
      <c r="AY251" s="1831"/>
      <c r="AZ251" s="1831"/>
      <c r="BA251" s="1831"/>
      <c r="BB251" s="1831"/>
      <c r="BC251" s="1831"/>
      <c r="BD251" s="1831"/>
      <c r="BE251" s="1831"/>
      <c r="BF251" s="1831"/>
      <c r="BG251" s="1644"/>
    </row>
    <row customHeight="1" ht="11.25">
      <c r="A252" s="1175" t="s">
        <v>1036</v>
      </c>
      <c r="B252" s="1175"/>
      <c r="C252" s="1175"/>
      <c r="D252" s="1169"/>
      <c r="E252" s="1179"/>
      <c r="F252" s="1837"/>
      <c r="G252" s="1838"/>
      <c r="H252" s="2543" t="s">
        <v>1188</v>
      </c>
      <c r="I252" s="2544"/>
      <c r="J252" s="2513"/>
      <c r="K252" s="2545"/>
      <c r="L252" s="2135"/>
      <c r="M252" s="2136"/>
      <c r="N252" s="2536"/>
      <c r="O252" s="2537"/>
      <c r="P252" s="2539"/>
      <c r="Q252" s="2725"/>
      <c r="R252" s="2541"/>
      <c r="S252" s="2542"/>
      <c r="T252" s="2541"/>
      <c r="U252" s="2541"/>
      <c r="V252" s="2541"/>
      <c r="W252" s="2541"/>
      <c r="X252" s="2541"/>
      <c r="Y252" s="2541"/>
      <c r="Z252" s="1836"/>
      <c r="AA252" s="1802">
        <v>1</v>
      </c>
      <c r="AB252" s="1188" t="s">
        <v>1081</v>
      </c>
      <c r="AC252" s="1178">
        <v>3290</v>
      </c>
      <c r="AD252" s="1188" t="str">
        <f>AB252</f>
        <v>      Амортизационные отчисления с выделением результатов переоценки основных средств и нематериальных активов</v>
      </c>
      <c r="AE252" s="1178">
        <v>2835.03</v>
      </c>
      <c r="AF252" s="2534"/>
      <c r="AG252" s="2535"/>
      <c r="AH252" s="2535"/>
      <c r="AI252" s="2906"/>
      <c r="AJ252" s="2535"/>
      <c r="AK252" s="2535"/>
      <c r="AL252" s="1994"/>
      <c r="AM252" s="1831"/>
      <c r="AN252" s="1831"/>
      <c r="AO252" s="1831"/>
      <c r="AP252" s="1831"/>
      <c r="AQ252" s="1831"/>
      <c r="AR252" s="1831"/>
      <c r="AS252" s="1831"/>
      <c r="AT252" s="1831"/>
      <c r="AU252" s="1831"/>
      <c r="AV252" s="1831"/>
      <c r="AW252" s="1831"/>
      <c r="AX252" s="1831"/>
      <c r="AY252" s="1831"/>
      <c r="AZ252" s="1831"/>
      <c r="BA252" s="1831"/>
      <c r="BB252" s="1831"/>
      <c r="BC252" s="1831"/>
      <c r="BD252" s="1831"/>
      <c r="BE252" s="1831"/>
      <c r="BF252" s="1831"/>
      <c r="BG252" s="1644"/>
    </row>
    <row customHeight="1" ht="11.25">
      <c r="A253" s="1175" t="s">
        <v>1036</v>
      </c>
      <c r="B253" s="1175"/>
      <c r="C253" s="1175"/>
      <c r="D253" s="1169"/>
      <c r="E253" s="1179"/>
      <c r="F253" s="1838"/>
      <c r="G253" s="1838"/>
      <c r="H253" s="1838"/>
      <c r="I253" s="1838"/>
      <c r="J253" s="1838"/>
      <c r="K253" s="1838"/>
      <c r="L253" s="1838"/>
      <c r="M253" s="1838"/>
      <c r="N253" s="1838"/>
      <c r="O253" s="1838"/>
      <c r="P253" s="1838"/>
      <c r="Q253" s="1838"/>
      <c r="R253" s="1838"/>
      <c r="S253" s="1838"/>
      <c r="T253" s="1838"/>
      <c r="U253" s="1838"/>
      <c r="V253" s="1838"/>
      <c r="W253" s="1838"/>
      <c r="X253" s="1838"/>
      <c r="Y253" s="1838"/>
      <c r="Z253" s="692" t="s">
        <v>104</v>
      </c>
      <c r="AA253" s="1822" t="s">
        <v>103</v>
      </c>
      <c r="AB253" s="1188" t="s">
        <v>1164</v>
      </c>
      <c r="AC253" s="1178">
        <v>44802.25</v>
      </c>
      <c r="AD253" s="1188" t="str">
        <f>AB253</f>
        <v>  За счет платы за технологическое присоединение</v>
      </c>
      <c r="AE253" s="1178">
        <v>47287.79</v>
      </c>
      <c r="AF253" s="2095"/>
      <c r="AG253" s="1767"/>
      <c r="AH253" s="1767"/>
      <c r="AI253" s="2908"/>
      <c r="AJ253" s="1767"/>
      <c r="AK253" s="1993"/>
      <c r="AL253" s="1994"/>
      <c r="AM253" s="1831"/>
      <c r="AN253" s="1831"/>
      <c r="AO253" s="1831"/>
      <c r="AP253" s="1831"/>
      <c r="AQ253" s="1831"/>
      <c r="AR253" s="1831"/>
      <c r="AS253" s="1831"/>
      <c r="AT253" s="1831"/>
      <c r="AU253" s="1831"/>
      <c r="AV253" s="1831"/>
      <c r="AW253" s="1831"/>
      <c r="AX253" s="1831"/>
      <c r="AY253" s="1831"/>
      <c r="AZ253" s="1831"/>
      <c r="BA253" s="1831"/>
      <c r="BB253" s="1831"/>
      <c r="BC253" s="1831"/>
      <c r="BD253" s="1831"/>
      <c r="BE253" s="1831"/>
      <c r="BF253" s="1831"/>
      <c r="BG253" s="1644"/>
    </row>
    <row customHeight="1" ht="11.25">
      <c r="A254" s="1175" t="s">
        <v>1036</v>
      </c>
      <c r="B254" s="1175"/>
      <c r="C254" s="1175"/>
      <c r="D254" s="1169"/>
      <c r="E254" s="1179"/>
      <c r="F254" s="1838"/>
      <c r="G254" s="1838"/>
      <c r="H254" s="1838"/>
      <c r="I254" s="1838"/>
      <c r="J254" s="1838"/>
      <c r="K254" s="1838"/>
      <c r="L254" s="1838"/>
      <c r="M254" s="1838"/>
      <c r="N254" s="1838"/>
      <c r="O254" s="1838"/>
      <c r="P254" s="1838"/>
      <c r="Q254" s="1838"/>
      <c r="R254" s="1838"/>
      <c r="S254" s="1838"/>
      <c r="T254" s="1838"/>
      <c r="U254" s="1838"/>
      <c r="V254" s="1838"/>
      <c r="W254" s="1838"/>
      <c r="X254" s="1838"/>
      <c r="Y254" s="1838"/>
      <c r="Z254" s="692" t="s">
        <v>104</v>
      </c>
      <c r="AA254" s="1822" t="s">
        <v>91</v>
      </c>
      <c r="AB254" s="1188" t="s">
        <v>1091</v>
      </c>
      <c r="AC254" s="1178">
        <v>4827.91</v>
      </c>
      <c r="AD254" s="1188" t="str">
        <f>AB254</f>
        <v>  Прочие собственные средства</v>
      </c>
      <c r="AE254" s="1178">
        <v>5325.41</v>
      </c>
      <c r="AF254" s="2095"/>
      <c r="AG254" s="1767"/>
      <c r="AH254" s="1767"/>
      <c r="AI254" s="2908"/>
      <c r="AJ254" s="1767"/>
      <c r="AK254" s="1993"/>
      <c r="AL254" s="1994"/>
      <c r="AM254" s="1831"/>
      <c r="AN254" s="1831"/>
      <c r="AO254" s="1831"/>
      <c r="AP254" s="1831"/>
      <c r="AQ254" s="1831"/>
      <c r="AR254" s="1831"/>
      <c r="AS254" s="1831"/>
      <c r="AT254" s="1831"/>
      <c r="AU254" s="1831"/>
      <c r="AV254" s="1831"/>
      <c r="AW254" s="1831"/>
      <c r="AX254" s="1831"/>
      <c r="AY254" s="1831"/>
      <c r="AZ254" s="1831"/>
      <c r="BA254" s="1831"/>
      <c r="BB254" s="1831"/>
      <c r="BC254" s="1831"/>
      <c r="BD254" s="1831"/>
      <c r="BE254" s="1831"/>
      <c r="BF254" s="1831"/>
      <c r="BG254" s="1644"/>
    </row>
    <row customHeight="1" ht="11.25">
      <c r="A255" s="1175" t="s">
        <v>1036</v>
      </c>
      <c r="B255" s="1175"/>
      <c r="C255" s="1175"/>
      <c r="D255" s="1169"/>
      <c r="E255" s="1179"/>
      <c r="F255" s="1837"/>
      <c r="G255" s="1838"/>
      <c r="H255" s="2543" t="s">
        <v>1188</v>
      </c>
      <c r="I255" s="2544"/>
      <c r="J255" s="2513"/>
      <c r="K255" s="2545"/>
      <c r="L255" s="2135"/>
      <c r="M255" s="2136"/>
      <c r="N255" s="2536"/>
      <c r="O255" s="2537"/>
      <c r="P255" s="2540"/>
      <c r="Q255" s="2725"/>
      <c r="R255" s="2541"/>
      <c r="S255" s="2542"/>
      <c r="T255" s="2541"/>
      <c r="U255" s="2541"/>
      <c r="V255" s="2541"/>
      <c r="W255" s="2541"/>
      <c r="X255" s="2541"/>
      <c r="Y255" s="2541"/>
      <c r="Z255" s="1184"/>
      <c r="AA255" s="1185"/>
      <c r="AB255" s="1250" t="s">
        <v>1082</v>
      </c>
      <c r="AC255" s="1189"/>
      <c r="AD255" s="1189"/>
      <c r="AE255" s="1191"/>
      <c r="AF255" s="2534"/>
      <c r="AG255" s="2535"/>
      <c r="AH255" s="2535"/>
      <c r="AI255" s="2906"/>
      <c r="AJ255" s="2535"/>
      <c r="AK255" s="2535"/>
      <c r="AL255" s="1994"/>
      <c r="AM255" s="1831"/>
      <c r="AN255" s="1831"/>
      <c r="AO255" s="1831"/>
      <c r="AP255" s="1831"/>
      <c r="AQ255" s="1831"/>
      <c r="AR255" s="1831"/>
      <c r="AS255" s="1831"/>
      <c r="AT255" s="1831"/>
      <c r="AU255" s="1831"/>
      <c r="AV255" s="1831"/>
      <c r="AW255" s="1831"/>
      <c r="AX255" s="1831"/>
      <c r="AY255" s="1831"/>
      <c r="AZ255" s="1831"/>
      <c r="BA255" s="1831"/>
      <c r="BB255" s="1831"/>
      <c r="BC255" s="1831"/>
      <c r="BD255" s="1831"/>
      <c r="BE255" s="1831"/>
      <c r="BF255" s="1831"/>
      <c r="BG255" s="1644"/>
    </row>
    <row customHeight="1" ht="11.25">
      <c r="A256" s="1175" t="s">
        <v>1036</v>
      </c>
      <c r="B256" s="1175"/>
      <c r="C256" s="1175"/>
      <c r="D256" s="1169"/>
      <c r="E256" s="1179"/>
      <c r="F256" s="1837"/>
      <c r="G256" s="1838"/>
      <c r="H256" s="2543" t="s">
        <v>1188</v>
      </c>
      <c r="I256" s="2544"/>
      <c r="J256" s="2513"/>
      <c r="K256" s="2545"/>
      <c r="L256" s="2135"/>
      <c r="M256" s="2136"/>
      <c r="N256" s="1184"/>
      <c r="O256" s="1185"/>
      <c r="P256" s="1177" t="s">
        <v>1083</v>
      </c>
      <c r="Q256" s="1185"/>
      <c r="R256" s="1185"/>
      <c r="S256" s="1185"/>
      <c r="T256" s="1185"/>
      <c r="U256" s="1185"/>
      <c r="V256" s="1185"/>
      <c r="W256" s="1185"/>
      <c r="X256" s="1185"/>
      <c r="Y256" s="1185"/>
      <c r="Z256" s="1185"/>
      <c r="AA256" s="1185"/>
      <c r="AB256" s="1185"/>
      <c r="AC256" s="1185"/>
      <c r="AD256" s="1185"/>
      <c r="AE256" s="1192"/>
      <c r="AF256" s="2534"/>
      <c r="AG256" s="2535"/>
      <c r="AH256" s="2535"/>
      <c r="AI256" s="2906"/>
      <c r="AJ256" s="2535"/>
      <c r="AK256" s="2535"/>
      <c r="AL256" s="1994"/>
      <c r="AM256" s="1831"/>
      <c r="AN256" s="1831"/>
      <c r="AO256" s="1831"/>
      <c r="AP256" s="1831"/>
      <c r="AQ256" s="1831"/>
      <c r="AR256" s="1831"/>
      <c r="AS256" s="1831"/>
      <c r="AT256" s="1831"/>
      <c r="AU256" s="1831"/>
      <c r="AV256" s="1831"/>
      <c r="AW256" s="1831"/>
      <c r="AX256" s="1831"/>
      <c r="AY256" s="1831"/>
      <c r="AZ256" s="1831"/>
      <c r="BA256" s="1831"/>
      <c r="BB256" s="1831"/>
      <c r="BC256" s="1831"/>
      <c r="BD256" s="1831"/>
      <c r="BE256" s="1831"/>
      <c r="BF256" s="1831"/>
      <c r="BG256" s="1644"/>
    </row>
    <row customHeight="1" ht="11.25">
      <c r="A257" s="1175" t="s">
        <v>1036</v>
      </c>
      <c r="B257" s="1175" t="s">
        <v>1165</v>
      </c>
      <c r="C257" s="1175"/>
      <c r="D257" s="1169"/>
      <c r="E257" s="1179"/>
      <c r="F257" s="1837"/>
      <c r="G257" s="692" t="s">
        <v>104</v>
      </c>
      <c r="H257" s="2543" t="s">
        <v>1192</v>
      </c>
      <c r="I257" s="2544" t="s">
        <v>1167</v>
      </c>
      <c r="J257" s="2513" t="s">
        <v>1173</v>
      </c>
      <c r="K257" s="2545" t="s">
        <v>1193</v>
      </c>
      <c r="L257" s="2135" t="s">
        <v>19</v>
      </c>
      <c r="M257" s="2136"/>
      <c r="N257" s="1992"/>
      <c r="O257" s="1186" t="s">
        <v>391</v>
      </c>
      <c r="P257" s="1187"/>
      <c r="Q257" s="1187"/>
      <c r="R257" s="1187"/>
      <c r="S257" s="1187"/>
      <c r="T257" s="1187"/>
      <c r="U257" s="1187"/>
      <c r="V257" s="1187"/>
      <c r="W257" s="1187"/>
      <c r="X257" s="1187"/>
      <c r="Y257" s="1187"/>
      <c r="Z257" s="1187"/>
      <c r="AA257" s="1187"/>
      <c r="AB257" s="1187"/>
      <c r="AC257" s="1187"/>
      <c r="AD257" s="1187"/>
      <c r="AE257" s="1187"/>
      <c r="AF257" s="2534">
        <v>2</v>
      </c>
      <c r="AG257" s="2535" t="s">
        <v>1094</v>
      </c>
      <c r="AH257" s="2535" t="s">
        <v>1073</v>
      </c>
      <c r="AI257" s="2906">
        <v>1</v>
      </c>
      <c r="AJ257" s="2535" t="s">
        <v>1194</v>
      </c>
      <c r="AK257" s="2535" t="s">
        <v>1085</v>
      </c>
      <c r="AL257" s="1994"/>
      <c r="AM257" s="1831"/>
      <c r="AN257" s="1831"/>
      <c r="AO257" s="1831"/>
      <c r="AP257" s="1831"/>
      <c r="AQ257" s="1831"/>
      <c r="AR257" s="1831"/>
      <c r="AS257" s="1831"/>
      <c r="AT257" s="1831"/>
      <c r="AU257" s="1831"/>
      <c r="AV257" s="1831"/>
      <c r="AW257" s="1831"/>
      <c r="AX257" s="1831"/>
      <c r="AY257" s="1831"/>
      <c r="AZ257" s="1831"/>
      <c r="BA257" s="1831"/>
      <c r="BB257" s="1831"/>
      <c r="BC257" s="1831"/>
      <c r="BD257" s="1831"/>
      <c r="BE257" s="1831"/>
      <c r="BF257" s="1831"/>
      <c r="BG257" s="1644"/>
    </row>
    <row customHeight="1" ht="11.25">
      <c r="A258" s="1175" t="s">
        <v>1036</v>
      </c>
      <c r="B258" s="1175"/>
      <c r="C258" s="1175"/>
      <c r="D258" s="1169"/>
      <c r="E258" s="1179"/>
      <c r="F258" s="1837"/>
      <c r="G258" s="1838"/>
      <c r="H258" s="2543" t="s">
        <v>1190</v>
      </c>
      <c r="I258" s="2544"/>
      <c r="J258" s="2513"/>
      <c r="K258" s="2545"/>
      <c r="L258" s="2135"/>
      <c r="M258" s="2136"/>
      <c r="N258" s="2536"/>
      <c r="O258" s="2537">
        <v>1</v>
      </c>
      <c r="P258" s="2538" t="s">
        <v>63</v>
      </c>
      <c r="Q258" s="2725" t="s">
        <v>1106</v>
      </c>
      <c r="R258" s="2726" t="s">
        <v>1076</v>
      </c>
      <c r="S258" s="2726" t="s">
        <v>100</v>
      </c>
      <c r="T258" s="2726" t="s">
        <v>100</v>
      </c>
      <c r="U258" s="2726" t="s">
        <v>101</v>
      </c>
      <c r="V258" s="2726" t="s">
        <v>1107</v>
      </c>
      <c r="W258" s="2726" t="s">
        <v>1108</v>
      </c>
      <c r="X258" s="2726" t="s">
        <v>1109</v>
      </c>
      <c r="Y258" s="2726" t="s">
        <v>1110</v>
      </c>
      <c r="Z258" s="1184"/>
      <c r="AA258" s="1185"/>
      <c r="AB258" s="1185"/>
      <c r="AC258" s="1189"/>
      <c r="AD258" s="1189"/>
      <c r="AE258" s="1190"/>
      <c r="AF258" s="2534"/>
      <c r="AG258" s="2535"/>
      <c r="AH258" s="2535"/>
      <c r="AI258" s="2906"/>
      <c r="AJ258" s="2535"/>
      <c r="AK258" s="2535"/>
      <c r="AL258" s="1994"/>
      <c r="AM258" s="1831"/>
      <c r="AN258" s="1831"/>
      <c r="AO258" s="1831"/>
      <c r="AP258" s="1831"/>
      <c r="AQ258" s="1831"/>
      <c r="AR258" s="1831"/>
      <c r="AS258" s="1831"/>
      <c r="AT258" s="1831"/>
      <c r="AU258" s="1831"/>
      <c r="AV258" s="1831"/>
      <c r="AW258" s="1831"/>
      <c r="AX258" s="1831"/>
      <c r="AY258" s="1831"/>
      <c r="AZ258" s="1831"/>
      <c r="BA258" s="1831"/>
      <c r="BB258" s="1831"/>
      <c r="BC258" s="1831"/>
      <c r="BD258" s="1831"/>
      <c r="BE258" s="1831"/>
      <c r="BF258" s="1831"/>
      <c r="BG258" s="1644"/>
    </row>
    <row customHeight="1" ht="39">
      <c r="A259" s="1175" t="s">
        <v>1036</v>
      </c>
      <c r="B259" s="1175"/>
      <c r="C259" s="1175"/>
      <c r="D259" s="1169"/>
      <c r="E259" s="1179"/>
      <c r="F259" s="1837"/>
      <c r="G259" s="1838"/>
      <c r="H259" s="2543" t="s">
        <v>1190</v>
      </c>
      <c r="I259" s="2544"/>
      <c r="J259" s="2513"/>
      <c r="K259" s="2545"/>
      <c r="L259" s="2135"/>
      <c r="M259" s="2136"/>
      <c r="N259" s="2536"/>
      <c r="O259" s="2537"/>
      <c r="P259" s="2539"/>
      <c r="Q259" s="2725"/>
      <c r="R259" s="2541"/>
      <c r="S259" s="2542"/>
      <c r="T259" s="2541"/>
      <c r="U259" s="2541"/>
      <c r="V259" s="2541"/>
      <c r="W259" s="2541"/>
      <c r="X259" s="2541"/>
      <c r="Y259" s="2541"/>
      <c r="Z259" s="1836"/>
      <c r="AA259" s="1802">
        <v>1</v>
      </c>
      <c r="AB259" s="1188" t="s">
        <v>1081</v>
      </c>
      <c r="AC259" s="1178">
        <v>3349.95</v>
      </c>
      <c r="AD259" s="1188" t="str">
        <f>AB259</f>
        <v>      Амортизационные отчисления с выделением результатов переоценки основных средств и нематериальных активов</v>
      </c>
      <c r="AE259" s="1178">
        <v>3082.14</v>
      </c>
      <c r="AF259" s="2534"/>
      <c r="AG259" s="2535"/>
      <c r="AH259" s="2535"/>
      <c r="AI259" s="2906"/>
      <c r="AJ259" s="2535"/>
      <c r="AK259" s="2535"/>
      <c r="AL259" s="1994"/>
      <c r="AM259" s="1831"/>
      <c r="AN259" s="1831"/>
      <c r="AO259" s="1831"/>
      <c r="AP259" s="1831"/>
      <c r="AQ259" s="1831"/>
      <c r="AR259" s="1831"/>
      <c r="AS259" s="1831"/>
      <c r="AT259" s="1831"/>
      <c r="AU259" s="1831"/>
      <c r="AV259" s="1831"/>
      <c r="AW259" s="1831"/>
      <c r="AX259" s="1831"/>
      <c r="AY259" s="1831"/>
      <c r="AZ259" s="1831"/>
      <c r="BA259" s="1831"/>
      <c r="BB259" s="1831"/>
      <c r="BC259" s="1831"/>
      <c r="BD259" s="1831"/>
      <c r="BE259" s="1831"/>
      <c r="BF259" s="1831"/>
      <c r="BG259" s="1644"/>
    </row>
    <row customHeight="1" ht="40.5">
      <c r="A260" s="1175" t="s">
        <v>1036</v>
      </c>
      <c r="B260" s="1175"/>
      <c r="C260" s="1175"/>
      <c r="D260" s="1169"/>
      <c r="E260" s="1179"/>
      <c r="F260" s="1838"/>
      <c r="G260" s="1838"/>
      <c r="H260" s="1838"/>
      <c r="I260" s="1838"/>
      <c r="J260" s="1838"/>
      <c r="K260" s="1838"/>
      <c r="L260" s="1838"/>
      <c r="M260" s="1838"/>
      <c r="N260" s="1838"/>
      <c r="O260" s="1838"/>
      <c r="P260" s="1838"/>
      <c r="Q260" s="1838"/>
      <c r="R260" s="1838"/>
      <c r="S260" s="1838"/>
      <c r="T260" s="1838"/>
      <c r="U260" s="1838"/>
      <c r="V260" s="1838"/>
      <c r="W260" s="1838"/>
      <c r="X260" s="1838"/>
      <c r="Y260" s="1838"/>
      <c r="Z260" s="692" t="s">
        <v>104</v>
      </c>
      <c r="AA260" s="1822" t="s">
        <v>103</v>
      </c>
      <c r="AB260" s="1188" t="s">
        <v>1164</v>
      </c>
      <c r="AC260" s="1178">
        <v>43108.91</v>
      </c>
      <c r="AD260" s="1188" t="str">
        <f>AB260</f>
        <v>  За счет платы за технологическое присоединение</v>
      </c>
      <c r="AE260" s="1178">
        <v>47921.41</v>
      </c>
      <c r="AF260" s="2095"/>
      <c r="AG260" s="1767"/>
      <c r="AH260" s="1767"/>
      <c r="AI260" s="2908"/>
      <c r="AJ260" s="1767"/>
      <c r="AK260" s="1993"/>
      <c r="AL260" s="1994"/>
      <c r="AM260" s="1831"/>
      <c r="AN260" s="1831"/>
      <c r="AO260" s="1831"/>
      <c r="AP260" s="1831"/>
      <c r="AQ260" s="1831"/>
      <c r="AR260" s="1831"/>
      <c r="AS260" s="1831"/>
      <c r="AT260" s="1831"/>
      <c r="AU260" s="1831"/>
      <c r="AV260" s="1831"/>
      <c r="AW260" s="1831"/>
      <c r="AX260" s="1831"/>
      <c r="AY260" s="1831"/>
      <c r="AZ260" s="1831"/>
      <c r="BA260" s="1831"/>
      <c r="BB260" s="1831"/>
      <c r="BC260" s="1831"/>
      <c r="BD260" s="1831"/>
      <c r="BE260" s="1831"/>
      <c r="BF260" s="1831"/>
      <c r="BG260" s="1644"/>
    </row>
    <row customHeight="1" ht="11.25">
      <c r="A261" s="1175" t="s">
        <v>1036</v>
      </c>
      <c r="B261" s="1175"/>
      <c r="C261" s="1175"/>
      <c r="D261" s="1169"/>
      <c r="E261" s="1179"/>
      <c r="F261" s="1838"/>
      <c r="G261" s="1838"/>
      <c r="H261" s="1838"/>
      <c r="I261" s="1838"/>
      <c r="J261" s="1838"/>
      <c r="K261" s="1838"/>
      <c r="L261" s="1838"/>
      <c r="M261" s="1838"/>
      <c r="N261" s="1838"/>
      <c r="O261" s="1838"/>
      <c r="P261" s="1838"/>
      <c r="Q261" s="1838"/>
      <c r="R261" s="1838"/>
      <c r="S261" s="1838"/>
      <c r="T261" s="1838"/>
      <c r="U261" s="1838"/>
      <c r="V261" s="1838"/>
      <c r="W261" s="1838"/>
      <c r="X261" s="1838"/>
      <c r="Y261" s="1838"/>
      <c r="Z261" s="692" t="s">
        <v>104</v>
      </c>
      <c r="AA261" s="1822" t="s">
        <v>91</v>
      </c>
      <c r="AB261" s="1188" t="s">
        <v>1091</v>
      </c>
      <c r="AC261" s="1178">
        <v>4852.88</v>
      </c>
      <c r="AD261" s="1188" t="str">
        <f>AB261</f>
        <v>  Прочие собственные средства</v>
      </c>
      <c r="AE261" s="1178">
        <v>6026.07</v>
      </c>
      <c r="AF261" s="2095"/>
      <c r="AG261" s="1767"/>
      <c r="AH261" s="1767"/>
      <c r="AI261" s="2908"/>
      <c r="AJ261" s="1767"/>
      <c r="AK261" s="1993"/>
      <c r="AL261" s="1994"/>
      <c r="AM261" s="1831"/>
      <c r="AN261" s="1831"/>
      <c r="AO261" s="1831"/>
      <c r="AP261" s="1831"/>
      <c r="AQ261" s="1831"/>
      <c r="AR261" s="1831"/>
      <c r="AS261" s="1831"/>
      <c r="AT261" s="1831"/>
      <c r="AU261" s="1831"/>
      <c r="AV261" s="1831"/>
      <c r="AW261" s="1831"/>
      <c r="AX261" s="1831"/>
      <c r="AY261" s="1831"/>
      <c r="AZ261" s="1831"/>
      <c r="BA261" s="1831"/>
      <c r="BB261" s="1831"/>
      <c r="BC261" s="1831"/>
      <c r="BD261" s="1831"/>
      <c r="BE261" s="1831"/>
      <c r="BF261" s="1831"/>
      <c r="BG261" s="1644"/>
    </row>
    <row customHeight="1" ht="11.25">
      <c r="A262" s="1175" t="s">
        <v>1036</v>
      </c>
      <c r="B262" s="1175"/>
      <c r="C262" s="1175"/>
      <c r="D262" s="1169"/>
      <c r="E262" s="1179"/>
      <c r="F262" s="1837"/>
      <c r="G262" s="1838"/>
      <c r="H262" s="2543" t="s">
        <v>1190</v>
      </c>
      <c r="I262" s="2544"/>
      <c r="J262" s="2513"/>
      <c r="K262" s="2545"/>
      <c r="L262" s="2135"/>
      <c r="M262" s="2136"/>
      <c r="N262" s="2536"/>
      <c r="O262" s="2537"/>
      <c r="P262" s="2540"/>
      <c r="Q262" s="2725"/>
      <c r="R262" s="2541"/>
      <c r="S262" s="2542"/>
      <c r="T262" s="2541"/>
      <c r="U262" s="2541"/>
      <c r="V262" s="2541"/>
      <c r="W262" s="2541"/>
      <c r="X262" s="2541"/>
      <c r="Y262" s="2541"/>
      <c r="Z262" s="1184"/>
      <c r="AA262" s="1185"/>
      <c r="AB262" s="1250" t="s">
        <v>1082</v>
      </c>
      <c r="AC262" s="1189"/>
      <c r="AD262" s="1189"/>
      <c r="AE262" s="1191"/>
      <c r="AF262" s="2534"/>
      <c r="AG262" s="2535"/>
      <c r="AH262" s="2535"/>
      <c r="AI262" s="2906"/>
      <c r="AJ262" s="2535"/>
      <c r="AK262" s="2535"/>
      <c r="AL262" s="1994"/>
      <c r="AM262" s="1831"/>
      <c r="AN262" s="1831"/>
      <c r="AO262" s="1831"/>
      <c r="AP262" s="1831"/>
      <c r="AQ262" s="1831"/>
      <c r="AR262" s="1831"/>
      <c r="AS262" s="1831"/>
      <c r="AT262" s="1831"/>
      <c r="AU262" s="1831"/>
      <c r="AV262" s="1831"/>
      <c r="AW262" s="1831"/>
      <c r="AX262" s="1831"/>
      <c r="AY262" s="1831"/>
      <c r="AZ262" s="1831"/>
      <c r="BA262" s="1831"/>
      <c r="BB262" s="1831"/>
      <c r="BC262" s="1831"/>
      <c r="BD262" s="1831"/>
      <c r="BE262" s="1831"/>
      <c r="BF262" s="1831"/>
      <c r="BG262" s="1644"/>
    </row>
    <row customHeight="1" ht="11.25">
      <c r="A263" s="1175" t="s">
        <v>1036</v>
      </c>
      <c r="B263" s="1175"/>
      <c r="C263" s="1175"/>
      <c r="D263" s="1169"/>
      <c r="E263" s="1179"/>
      <c r="F263" s="1837"/>
      <c r="G263" s="1838"/>
      <c r="H263" s="2543" t="s">
        <v>1190</v>
      </c>
      <c r="I263" s="2544"/>
      <c r="J263" s="2513"/>
      <c r="K263" s="2545"/>
      <c r="L263" s="2135"/>
      <c r="M263" s="2136"/>
      <c r="N263" s="1184"/>
      <c r="O263" s="1185"/>
      <c r="P263" s="1177" t="s">
        <v>1083</v>
      </c>
      <c r="Q263" s="1185"/>
      <c r="R263" s="1185"/>
      <c r="S263" s="1185"/>
      <c r="T263" s="1185"/>
      <c r="U263" s="1185"/>
      <c r="V263" s="1185"/>
      <c r="W263" s="1185"/>
      <c r="X263" s="1185"/>
      <c r="Y263" s="1185"/>
      <c r="Z263" s="1185"/>
      <c r="AA263" s="1185"/>
      <c r="AB263" s="1185"/>
      <c r="AC263" s="1185"/>
      <c r="AD263" s="1185"/>
      <c r="AE263" s="1192"/>
      <c r="AF263" s="2534"/>
      <c r="AG263" s="2535"/>
      <c r="AH263" s="2535"/>
      <c r="AI263" s="2906"/>
      <c r="AJ263" s="2535"/>
      <c r="AK263" s="2535"/>
      <c r="AL263" s="1994"/>
      <c r="AM263" s="1831"/>
      <c r="AN263" s="1831"/>
      <c r="AO263" s="1831"/>
      <c r="AP263" s="1831"/>
      <c r="AQ263" s="1831"/>
      <c r="AR263" s="1831"/>
      <c r="AS263" s="1831"/>
      <c r="AT263" s="1831"/>
      <c r="AU263" s="1831"/>
      <c r="AV263" s="1831"/>
      <c r="AW263" s="1831"/>
      <c r="AX263" s="1831"/>
      <c r="AY263" s="1831"/>
      <c r="AZ263" s="1831"/>
      <c r="BA263" s="1831"/>
      <c r="BB263" s="1831"/>
      <c r="BC263" s="1831"/>
      <c r="BD263" s="1831"/>
      <c r="BE263" s="1831"/>
      <c r="BF263" s="1831"/>
      <c r="BG263" s="1644"/>
    </row>
    <row customHeight="1" ht="11.25">
      <c r="A264" s="1175" t="s">
        <v>1036</v>
      </c>
      <c r="B264" s="1175" t="s">
        <v>1165</v>
      </c>
      <c r="C264" s="1175"/>
      <c r="D264" s="1169"/>
      <c r="E264" s="1179"/>
      <c r="F264" s="1837"/>
      <c r="G264" s="692" t="s">
        <v>104</v>
      </c>
      <c r="H264" s="2543" t="s">
        <v>1099</v>
      </c>
      <c r="I264" s="2544" t="s">
        <v>1167</v>
      </c>
      <c r="J264" s="2513" t="s">
        <v>1173</v>
      </c>
      <c r="K264" s="2545" t="s">
        <v>1195</v>
      </c>
      <c r="L264" s="2135" t="s">
        <v>19</v>
      </c>
      <c r="M264" s="2136"/>
      <c r="N264" s="1992"/>
      <c r="O264" s="1186" t="s">
        <v>391</v>
      </c>
      <c r="P264" s="1187"/>
      <c r="Q264" s="1187"/>
      <c r="R264" s="1187"/>
      <c r="S264" s="1187"/>
      <c r="T264" s="1187"/>
      <c r="U264" s="1187"/>
      <c r="V264" s="1187"/>
      <c r="W264" s="1187"/>
      <c r="X264" s="1187"/>
      <c r="Y264" s="1187"/>
      <c r="Z264" s="1187"/>
      <c r="AA264" s="1187"/>
      <c r="AB264" s="1187"/>
      <c r="AC264" s="1187"/>
      <c r="AD264" s="1187"/>
      <c r="AE264" s="1187"/>
      <c r="AF264" s="2534">
        <v>1</v>
      </c>
      <c r="AG264" s="2535" t="s">
        <v>1094</v>
      </c>
      <c r="AH264" s="2535" t="s">
        <v>1085</v>
      </c>
      <c r="AI264" s="2534">
        <v>1</v>
      </c>
      <c r="AJ264" s="2535" t="s">
        <v>1095</v>
      </c>
      <c r="AK264" s="2535" t="s">
        <v>1085</v>
      </c>
      <c r="AL264" s="1994"/>
      <c r="AM264" s="1831"/>
      <c r="AN264" s="1831"/>
      <c r="AO264" s="1831"/>
      <c r="AP264" s="1831"/>
      <c r="AQ264" s="1831"/>
      <c r="AR264" s="1831"/>
      <c r="AS264" s="1831"/>
      <c r="AT264" s="1831"/>
      <c r="AU264" s="1831"/>
      <c r="AV264" s="1831"/>
      <c r="AW264" s="1831"/>
      <c r="AX264" s="1831"/>
      <c r="AY264" s="1831"/>
      <c r="AZ264" s="1831"/>
      <c r="BA264" s="1831"/>
      <c r="BB264" s="1831"/>
      <c r="BC264" s="1831"/>
      <c r="BD264" s="1831"/>
      <c r="BE264" s="1831"/>
      <c r="BF264" s="1831"/>
      <c r="BG264" s="1644"/>
    </row>
    <row customHeight="1" ht="11.25">
      <c r="A265" s="1175" t="s">
        <v>1036</v>
      </c>
      <c r="B265" s="1175"/>
      <c r="C265" s="1175"/>
      <c r="D265" s="1169"/>
      <c r="E265" s="1179"/>
      <c r="F265" s="1837"/>
      <c r="G265" s="1838"/>
      <c r="H265" s="2543" t="s">
        <v>1192</v>
      </c>
      <c r="I265" s="2544"/>
      <c r="J265" s="2513"/>
      <c r="K265" s="2545"/>
      <c r="L265" s="2135"/>
      <c r="M265" s="2136"/>
      <c r="N265" s="2536"/>
      <c r="O265" s="2537">
        <v>1</v>
      </c>
      <c r="P265" s="2538" t="s">
        <v>63</v>
      </c>
      <c r="Q265" s="2725" t="s">
        <v>1106</v>
      </c>
      <c r="R265" s="2726" t="s">
        <v>1076</v>
      </c>
      <c r="S265" s="2726" t="s">
        <v>100</v>
      </c>
      <c r="T265" s="2726" t="s">
        <v>100</v>
      </c>
      <c r="U265" s="2726" t="s">
        <v>101</v>
      </c>
      <c r="V265" s="2726" t="s">
        <v>1107</v>
      </c>
      <c r="W265" s="2726" t="s">
        <v>1108</v>
      </c>
      <c r="X265" s="2726" t="s">
        <v>1109</v>
      </c>
      <c r="Y265" s="2726" t="s">
        <v>1110</v>
      </c>
      <c r="Z265" s="1184"/>
      <c r="AA265" s="1185"/>
      <c r="AB265" s="1185"/>
      <c r="AC265" s="1189"/>
      <c r="AD265" s="1189"/>
      <c r="AE265" s="1190"/>
      <c r="AF265" s="2534"/>
      <c r="AG265" s="2535"/>
      <c r="AH265" s="2535"/>
      <c r="AI265" s="2534"/>
      <c r="AJ265" s="2535"/>
      <c r="AK265" s="2535"/>
      <c r="AL265" s="1994"/>
      <c r="AM265" s="1831"/>
      <c r="AN265" s="1831"/>
      <c r="AO265" s="1831"/>
      <c r="AP265" s="1831"/>
      <c r="AQ265" s="1831"/>
      <c r="AR265" s="1831"/>
      <c r="AS265" s="1831"/>
      <c r="AT265" s="1831"/>
      <c r="AU265" s="1831"/>
      <c r="AV265" s="1831"/>
      <c r="AW265" s="1831"/>
      <c r="AX265" s="1831"/>
      <c r="AY265" s="1831"/>
      <c r="AZ265" s="1831"/>
      <c r="BA265" s="1831"/>
      <c r="BB265" s="1831"/>
      <c r="BC265" s="1831"/>
      <c r="BD265" s="1831"/>
      <c r="BE265" s="1831"/>
      <c r="BF265" s="1831"/>
      <c r="BG265" s="1644"/>
    </row>
    <row customHeight="1" ht="11.25">
      <c r="A266" s="1175" t="s">
        <v>1036</v>
      </c>
      <c r="B266" s="1175"/>
      <c r="C266" s="1175"/>
      <c r="D266" s="1169"/>
      <c r="E266" s="1179"/>
      <c r="F266" s="1837"/>
      <c r="G266" s="1838"/>
      <c r="H266" s="2543" t="s">
        <v>1192</v>
      </c>
      <c r="I266" s="2544"/>
      <c r="J266" s="2513"/>
      <c r="K266" s="2545"/>
      <c r="L266" s="2135"/>
      <c r="M266" s="2136"/>
      <c r="N266" s="2536"/>
      <c r="O266" s="2537"/>
      <c r="P266" s="2539"/>
      <c r="Q266" s="2725"/>
      <c r="R266" s="2541"/>
      <c r="S266" s="2542"/>
      <c r="T266" s="2541"/>
      <c r="U266" s="2541"/>
      <c r="V266" s="2541"/>
      <c r="W266" s="2541"/>
      <c r="X266" s="2541"/>
      <c r="Y266" s="2541"/>
      <c r="Z266" s="1836"/>
      <c r="AA266" s="1802">
        <v>1</v>
      </c>
      <c r="AB266" s="1188" t="s">
        <v>1091</v>
      </c>
      <c r="AC266" s="1178">
        <v>42.99</v>
      </c>
      <c r="AD266" s="1188" t="str">
        <f>AB266</f>
        <v>  Прочие собственные средства</v>
      </c>
      <c r="AE266" s="1178">
        <v>42.99</v>
      </c>
      <c r="AF266" s="2534"/>
      <c r="AG266" s="2535"/>
      <c r="AH266" s="2535"/>
      <c r="AI266" s="2534"/>
      <c r="AJ266" s="2535"/>
      <c r="AK266" s="2535"/>
      <c r="AL266" s="1994"/>
      <c r="AM266" s="1831"/>
      <c r="AN266" s="1831"/>
      <c r="AO266" s="1831"/>
      <c r="AP266" s="1831"/>
      <c r="AQ266" s="1831"/>
      <c r="AR266" s="1831"/>
      <c r="AS266" s="1831"/>
      <c r="AT266" s="1831"/>
      <c r="AU266" s="1831"/>
      <c r="AV266" s="1831"/>
      <c r="AW266" s="1831"/>
      <c r="AX266" s="1831"/>
      <c r="AY266" s="1831"/>
      <c r="AZ266" s="1831"/>
      <c r="BA266" s="1831"/>
      <c r="BB266" s="1831"/>
      <c r="BC266" s="1831"/>
      <c r="BD266" s="1831"/>
      <c r="BE266" s="1831"/>
      <c r="BF266" s="1831"/>
      <c r="BG266" s="1644"/>
    </row>
    <row customHeight="1" ht="11.25">
      <c r="A267" s="1175" t="s">
        <v>1036</v>
      </c>
      <c r="B267" s="1175"/>
      <c r="C267" s="1175"/>
      <c r="D267" s="1169"/>
      <c r="E267" s="1179"/>
      <c r="F267" s="1837"/>
      <c r="G267" s="1838"/>
      <c r="H267" s="2543" t="s">
        <v>1192</v>
      </c>
      <c r="I267" s="2544"/>
      <c r="J267" s="2513"/>
      <c r="K267" s="2545"/>
      <c r="L267" s="2135"/>
      <c r="M267" s="2136"/>
      <c r="N267" s="2536"/>
      <c r="O267" s="2537"/>
      <c r="P267" s="2540"/>
      <c r="Q267" s="2725"/>
      <c r="R267" s="2541"/>
      <c r="S267" s="2542"/>
      <c r="T267" s="2541"/>
      <c r="U267" s="2541"/>
      <c r="V267" s="2541"/>
      <c r="W267" s="2541"/>
      <c r="X267" s="2541"/>
      <c r="Y267" s="2541"/>
      <c r="Z267" s="1184"/>
      <c r="AA267" s="1185"/>
      <c r="AB267" s="1250" t="s">
        <v>1082</v>
      </c>
      <c r="AC267" s="1189"/>
      <c r="AD267" s="1189"/>
      <c r="AE267" s="1191"/>
      <c r="AF267" s="2534"/>
      <c r="AG267" s="2535"/>
      <c r="AH267" s="2535"/>
      <c r="AI267" s="2534"/>
      <c r="AJ267" s="2535"/>
      <c r="AK267" s="2535"/>
      <c r="AL267" s="1994"/>
      <c r="AM267" s="1831"/>
      <c r="AN267" s="1831"/>
      <c r="AO267" s="1831"/>
      <c r="AP267" s="1831"/>
      <c r="AQ267" s="1831"/>
      <c r="AR267" s="1831"/>
      <c r="AS267" s="1831"/>
      <c r="AT267" s="1831"/>
      <c r="AU267" s="1831"/>
      <c r="AV267" s="1831"/>
      <c r="AW267" s="1831"/>
      <c r="AX267" s="1831"/>
      <c r="AY267" s="1831"/>
      <c r="AZ267" s="1831"/>
      <c r="BA267" s="1831"/>
      <c r="BB267" s="1831"/>
      <c r="BC267" s="1831"/>
      <c r="BD267" s="1831"/>
      <c r="BE267" s="1831"/>
      <c r="BF267" s="1831"/>
      <c r="BG267" s="1644"/>
    </row>
    <row customHeight="1" ht="11.25">
      <c r="A268" s="1175" t="s">
        <v>1036</v>
      </c>
      <c r="B268" s="1175"/>
      <c r="C268" s="1175"/>
      <c r="D268" s="1169"/>
      <c r="E268" s="1179"/>
      <c r="F268" s="1837"/>
      <c r="G268" s="1838"/>
      <c r="H268" s="2543" t="s">
        <v>1192</v>
      </c>
      <c r="I268" s="2544"/>
      <c r="J268" s="2513"/>
      <c r="K268" s="2545"/>
      <c r="L268" s="2135"/>
      <c r="M268" s="2136"/>
      <c r="N268" s="1184"/>
      <c r="O268" s="1185"/>
      <c r="P268" s="1177" t="s">
        <v>1083</v>
      </c>
      <c r="Q268" s="1185"/>
      <c r="R268" s="1185"/>
      <c r="S268" s="1185"/>
      <c r="T268" s="1185"/>
      <c r="U268" s="1185"/>
      <c r="V268" s="1185"/>
      <c r="W268" s="1185"/>
      <c r="X268" s="1185"/>
      <c r="Y268" s="1185"/>
      <c r="Z268" s="1185"/>
      <c r="AA268" s="1185"/>
      <c r="AB268" s="1185"/>
      <c r="AC268" s="1185"/>
      <c r="AD268" s="1185"/>
      <c r="AE268" s="1192"/>
      <c r="AF268" s="2534"/>
      <c r="AG268" s="2535"/>
      <c r="AH268" s="2535"/>
      <c r="AI268" s="2534"/>
      <c r="AJ268" s="2535"/>
      <c r="AK268" s="2535"/>
      <c r="AL268" s="1994"/>
      <c r="AM268" s="1831"/>
      <c r="AN268" s="1831"/>
      <c r="AO268" s="1831"/>
      <c r="AP268" s="1831"/>
      <c r="AQ268" s="1831"/>
      <c r="AR268" s="1831"/>
      <c r="AS268" s="1831"/>
      <c r="AT268" s="1831"/>
      <c r="AU268" s="1831"/>
      <c r="AV268" s="1831"/>
      <c r="AW268" s="1831"/>
      <c r="AX268" s="1831"/>
      <c r="AY268" s="1831"/>
      <c r="AZ268" s="1831"/>
      <c r="BA268" s="1831"/>
      <c r="BB268" s="1831"/>
      <c r="BC268" s="1831"/>
      <c r="BD268" s="1831"/>
      <c r="BE268" s="1831"/>
      <c r="BF268" s="1831"/>
      <c r="BG268" s="1644"/>
    </row>
    <row customHeight="1" ht="11.25">
      <c r="A269" s="1175" t="s">
        <v>1036</v>
      </c>
      <c r="B269" s="1175" t="s">
        <v>1165</v>
      </c>
      <c r="C269" s="1175"/>
      <c r="D269" s="1169"/>
      <c r="E269" s="1179"/>
      <c r="F269" s="1837"/>
      <c r="G269" s="692" t="s">
        <v>104</v>
      </c>
      <c r="H269" s="2543" t="s">
        <v>1196</v>
      </c>
      <c r="I269" s="2544" t="s">
        <v>1167</v>
      </c>
      <c r="J269" s="2513" t="s">
        <v>1173</v>
      </c>
      <c r="K269" s="2545" t="s">
        <v>1197</v>
      </c>
      <c r="L269" s="2135" t="s">
        <v>19</v>
      </c>
      <c r="M269" s="2136"/>
      <c r="N269" s="1992"/>
      <c r="O269" s="1186" t="s">
        <v>391</v>
      </c>
      <c r="P269" s="1187"/>
      <c r="Q269" s="1187"/>
      <c r="R269" s="1187"/>
      <c r="S269" s="1187"/>
      <c r="T269" s="1187"/>
      <c r="U269" s="1187"/>
      <c r="V269" s="1187"/>
      <c r="W269" s="1187"/>
      <c r="X269" s="1187"/>
      <c r="Y269" s="1187"/>
      <c r="Z269" s="1187"/>
      <c r="AA269" s="1187"/>
      <c r="AB269" s="1187"/>
      <c r="AC269" s="1187"/>
      <c r="AD269" s="1187"/>
      <c r="AE269" s="1187"/>
      <c r="AF269" s="2534">
        <v>2</v>
      </c>
      <c r="AG269" s="2535" t="s">
        <v>1094</v>
      </c>
      <c r="AH269" s="2535" t="s">
        <v>1073</v>
      </c>
      <c r="AI269" s="2906">
        <v>1</v>
      </c>
      <c r="AJ269" s="2535" t="s">
        <v>1072</v>
      </c>
      <c r="AK269" s="2535" t="s">
        <v>1085</v>
      </c>
      <c r="AL269" s="1994"/>
      <c r="AM269" s="1831"/>
      <c r="AN269" s="1831"/>
      <c r="AO269" s="1831"/>
      <c r="AP269" s="1831"/>
      <c r="AQ269" s="1831"/>
      <c r="AR269" s="1831"/>
      <c r="AS269" s="1831"/>
      <c r="AT269" s="1831"/>
      <c r="AU269" s="1831"/>
      <c r="AV269" s="1831"/>
      <c r="AW269" s="1831"/>
      <c r="AX269" s="1831"/>
      <c r="AY269" s="1831"/>
      <c r="AZ269" s="1831"/>
      <c r="BA269" s="1831"/>
      <c r="BB269" s="1831"/>
      <c r="BC269" s="1831"/>
      <c r="BD269" s="1831"/>
      <c r="BE269" s="1831"/>
      <c r="BF269" s="1831"/>
      <c r="BG269" s="1644"/>
    </row>
    <row customHeight="1" ht="11.25">
      <c r="A270" s="1175" t="s">
        <v>1036</v>
      </c>
      <c r="B270" s="1175"/>
      <c r="C270" s="1175"/>
      <c r="D270" s="1169"/>
      <c r="E270" s="1179"/>
      <c r="F270" s="1837"/>
      <c r="G270" s="1838"/>
      <c r="H270" s="2543" t="s">
        <v>1099</v>
      </c>
      <c r="I270" s="2544"/>
      <c r="J270" s="2513"/>
      <c r="K270" s="2545"/>
      <c r="L270" s="2135"/>
      <c r="M270" s="2136"/>
      <c r="N270" s="2536"/>
      <c r="O270" s="2537">
        <v>1</v>
      </c>
      <c r="P270" s="2538" t="s">
        <v>63</v>
      </c>
      <c r="Q270" s="2725" t="s">
        <v>1106</v>
      </c>
      <c r="R270" s="2726" t="s">
        <v>1076</v>
      </c>
      <c r="S270" s="2726" t="s">
        <v>100</v>
      </c>
      <c r="T270" s="2726" t="s">
        <v>100</v>
      </c>
      <c r="U270" s="2726" t="s">
        <v>101</v>
      </c>
      <c r="V270" s="2726" t="s">
        <v>1107</v>
      </c>
      <c r="W270" s="2726" t="s">
        <v>1108</v>
      </c>
      <c r="X270" s="2726" t="s">
        <v>1109</v>
      </c>
      <c r="Y270" s="2726" t="s">
        <v>1110</v>
      </c>
      <c r="Z270" s="1184"/>
      <c r="AA270" s="1185"/>
      <c r="AB270" s="1185"/>
      <c r="AC270" s="1189"/>
      <c r="AD270" s="1189"/>
      <c r="AE270" s="1190"/>
      <c r="AF270" s="2534"/>
      <c r="AG270" s="2535"/>
      <c r="AH270" s="2535"/>
      <c r="AI270" s="2906"/>
      <c r="AJ270" s="2535"/>
      <c r="AK270" s="2535"/>
      <c r="AL270" s="1994"/>
      <c r="AM270" s="1831"/>
      <c r="AN270" s="1831"/>
      <c r="AO270" s="1831"/>
      <c r="AP270" s="1831"/>
      <c r="AQ270" s="1831"/>
      <c r="AR270" s="1831"/>
      <c r="AS270" s="1831"/>
      <c r="AT270" s="1831"/>
      <c r="AU270" s="1831"/>
      <c r="AV270" s="1831"/>
      <c r="AW270" s="1831"/>
      <c r="AX270" s="1831"/>
      <c r="AY270" s="1831"/>
      <c r="AZ270" s="1831"/>
      <c r="BA270" s="1831"/>
      <c r="BB270" s="1831"/>
      <c r="BC270" s="1831"/>
      <c r="BD270" s="1831"/>
      <c r="BE270" s="1831"/>
      <c r="BF270" s="1831"/>
      <c r="BG270" s="1644"/>
    </row>
    <row customHeight="1" ht="11.25">
      <c r="A271" s="1175" t="s">
        <v>1036</v>
      </c>
      <c r="B271" s="1175"/>
      <c r="C271" s="1175"/>
      <c r="D271" s="1169"/>
      <c r="E271" s="1179"/>
      <c r="F271" s="1837"/>
      <c r="G271" s="1838"/>
      <c r="H271" s="2543" t="s">
        <v>1099</v>
      </c>
      <c r="I271" s="2544"/>
      <c r="J271" s="2513"/>
      <c r="K271" s="2545"/>
      <c r="L271" s="2135"/>
      <c r="M271" s="2136"/>
      <c r="N271" s="2536"/>
      <c r="O271" s="2537"/>
      <c r="P271" s="2539"/>
      <c r="Q271" s="2725"/>
      <c r="R271" s="2541"/>
      <c r="S271" s="2542"/>
      <c r="T271" s="2541"/>
      <c r="U271" s="2541"/>
      <c r="V271" s="2541"/>
      <c r="W271" s="2541"/>
      <c r="X271" s="2541"/>
      <c r="Y271" s="2541"/>
      <c r="Z271" s="1836"/>
      <c r="AA271" s="1802">
        <v>1</v>
      </c>
      <c r="AB271" s="1188" t="s">
        <v>1164</v>
      </c>
      <c r="AC271" s="1178">
        <v>40867.66</v>
      </c>
      <c r="AD271" s="1188" t="str">
        <f>AB271</f>
        <v>  За счет платы за технологическое присоединение</v>
      </c>
      <c r="AE271" s="1178">
        <v>42915.15</v>
      </c>
      <c r="AF271" s="2534"/>
      <c r="AG271" s="2535"/>
      <c r="AH271" s="2535"/>
      <c r="AI271" s="2906"/>
      <c r="AJ271" s="2535"/>
      <c r="AK271" s="2535"/>
      <c r="AL271" s="1994"/>
      <c r="AM271" s="1831"/>
      <c r="AN271" s="1831"/>
      <c r="AO271" s="1831"/>
      <c r="AP271" s="1831"/>
      <c r="AQ271" s="1831"/>
      <c r="AR271" s="1831"/>
      <c r="AS271" s="1831"/>
      <c r="AT271" s="1831"/>
      <c r="AU271" s="1831"/>
      <c r="AV271" s="1831"/>
      <c r="AW271" s="1831"/>
      <c r="AX271" s="1831"/>
      <c r="AY271" s="1831"/>
      <c r="AZ271" s="1831"/>
      <c r="BA271" s="1831"/>
      <c r="BB271" s="1831"/>
      <c r="BC271" s="1831"/>
      <c r="BD271" s="1831"/>
      <c r="BE271" s="1831"/>
      <c r="BF271" s="1831"/>
      <c r="BG271" s="1644"/>
    </row>
    <row customHeight="1" ht="11.25">
      <c r="A272" s="1175" t="s">
        <v>1036</v>
      </c>
      <c r="B272" s="1175"/>
      <c r="C272" s="1175"/>
      <c r="D272" s="1169"/>
      <c r="E272" s="1179"/>
      <c r="F272" s="1838"/>
      <c r="G272" s="1838"/>
      <c r="H272" s="1838"/>
      <c r="I272" s="1838"/>
      <c r="J272" s="1838"/>
      <c r="K272" s="1838"/>
      <c r="L272" s="1838"/>
      <c r="M272" s="1838"/>
      <c r="N272" s="1838"/>
      <c r="O272" s="1838"/>
      <c r="P272" s="1838"/>
      <c r="Q272" s="1838"/>
      <c r="R272" s="1838"/>
      <c r="S272" s="1838"/>
      <c r="T272" s="1838"/>
      <c r="U272" s="1838"/>
      <c r="V272" s="1838"/>
      <c r="W272" s="1838"/>
      <c r="X272" s="1838"/>
      <c r="Y272" s="1838"/>
      <c r="Z272" s="692" t="s">
        <v>104</v>
      </c>
      <c r="AA272" s="1822" t="s">
        <v>103</v>
      </c>
      <c r="AB272" s="1188" t="s">
        <v>1091</v>
      </c>
      <c r="AC272" s="1178">
        <v>10115.33</v>
      </c>
      <c r="AD272" s="1188" t="str">
        <f>AB272</f>
        <v>  Прочие собственные средства</v>
      </c>
      <c r="AE272" s="1178">
        <v>8146.98</v>
      </c>
      <c r="AF272" s="2095"/>
      <c r="AG272" s="1767"/>
      <c r="AH272" s="1767"/>
      <c r="AI272" s="2908"/>
      <c r="AJ272" s="1767"/>
      <c r="AK272" s="1993"/>
      <c r="AL272" s="1994"/>
      <c r="AM272" s="1831"/>
      <c r="AN272" s="1831"/>
      <c r="AO272" s="1831"/>
      <c r="AP272" s="1831"/>
      <c r="AQ272" s="1831"/>
      <c r="AR272" s="1831"/>
      <c r="AS272" s="1831"/>
      <c r="AT272" s="1831"/>
      <c r="AU272" s="1831"/>
      <c r="AV272" s="1831"/>
      <c r="AW272" s="1831"/>
      <c r="AX272" s="1831"/>
      <c r="AY272" s="1831"/>
      <c r="AZ272" s="1831"/>
      <c r="BA272" s="1831"/>
      <c r="BB272" s="1831"/>
      <c r="BC272" s="1831"/>
      <c r="BD272" s="1831"/>
      <c r="BE272" s="1831"/>
      <c r="BF272" s="1831"/>
      <c r="BG272" s="1644"/>
    </row>
    <row customHeight="1" ht="11.25">
      <c r="A273" s="1175" t="s">
        <v>1036</v>
      </c>
      <c r="B273" s="1175"/>
      <c r="C273" s="1175"/>
      <c r="D273" s="1169"/>
      <c r="E273" s="1179"/>
      <c r="F273" s="1837"/>
      <c r="G273" s="1838"/>
      <c r="H273" s="2543" t="s">
        <v>1099</v>
      </c>
      <c r="I273" s="2544"/>
      <c r="J273" s="2513"/>
      <c r="K273" s="2545"/>
      <c r="L273" s="2135"/>
      <c r="M273" s="2136"/>
      <c r="N273" s="2536"/>
      <c r="O273" s="2537"/>
      <c r="P273" s="2540"/>
      <c r="Q273" s="2725"/>
      <c r="R273" s="2541"/>
      <c r="S273" s="2542"/>
      <c r="T273" s="2541"/>
      <c r="U273" s="2541"/>
      <c r="V273" s="2541"/>
      <c r="W273" s="2541"/>
      <c r="X273" s="2541"/>
      <c r="Y273" s="2541"/>
      <c r="Z273" s="1184"/>
      <c r="AA273" s="1185"/>
      <c r="AB273" s="1250" t="s">
        <v>1082</v>
      </c>
      <c r="AC273" s="1189"/>
      <c r="AD273" s="1189"/>
      <c r="AE273" s="1191"/>
      <c r="AF273" s="2534"/>
      <c r="AG273" s="2535"/>
      <c r="AH273" s="2535"/>
      <c r="AI273" s="2906"/>
      <c r="AJ273" s="2535"/>
      <c r="AK273" s="2535"/>
      <c r="AL273" s="1994"/>
      <c r="AM273" s="1831"/>
      <c r="AN273" s="1831"/>
      <c r="AO273" s="1831"/>
      <c r="AP273" s="1831"/>
      <c r="AQ273" s="1831"/>
      <c r="AR273" s="1831"/>
      <c r="AS273" s="1831"/>
      <c r="AT273" s="1831"/>
      <c r="AU273" s="1831"/>
      <c r="AV273" s="1831"/>
      <c r="AW273" s="1831"/>
      <c r="AX273" s="1831"/>
      <c r="AY273" s="1831"/>
      <c r="AZ273" s="1831"/>
      <c r="BA273" s="1831"/>
      <c r="BB273" s="1831"/>
      <c r="BC273" s="1831"/>
      <c r="BD273" s="1831"/>
      <c r="BE273" s="1831"/>
      <c r="BF273" s="1831"/>
      <c r="BG273" s="1644"/>
    </row>
    <row customHeight="1" ht="11.25">
      <c r="A274" s="1175" t="s">
        <v>1036</v>
      </c>
      <c r="B274" s="1175"/>
      <c r="C274" s="1175"/>
      <c r="D274" s="1169"/>
      <c r="E274" s="1179"/>
      <c r="F274" s="1837"/>
      <c r="G274" s="1838"/>
      <c r="H274" s="2543" t="s">
        <v>1099</v>
      </c>
      <c r="I274" s="2544"/>
      <c r="J274" s="2513"/>
      <c r="K274" s="2545"/>
      <c r="L274" s="2135"/>
      <c r="M274" s="2136"/>
      <c r="N274" s="1184"/>
      <c r="O274" s="1185"/>
      <c r="P274" s="1177" t="s">
        <v>1083</v>
      </c>
      <c r="Q274" s="1185"/>
      <c r="R274" s="1185"/>
      <c r="S274" s="1185"/>
      <c r="T274" s="1185"/>
      <c r="U274" s="1185"/>
      <c r="V274" s="1185"/>
      <c r="W274" s="1185"/>
      <c r="X274" s="1185"/>
      <c r="Y274" s="1185"/>
      <c r="Z274" s="1185"/>
      <c r="AA274" s="1185"/>
      <c r="AB274" s="1185"/>
      <c r="AC274" s="1185"/>
      <c r="AD274" s="1185"/>
      <c r="AE274" s="1192"/>
      <c r="AF274" s="2534"/>
      <c r="AG274" s="2535"/>
      <c r="AH274" s="2535"/>
      <c r="AI274" s="2906"/>
      <c r="AJ274" s="2535"/>
      <c r="AK274" s="2535"/>
      <c r="AL274" s="1994"/>
      <c r="AM274" s="1831"/>
      <c r="AN274" s="1831"/>
      <c r="AO274" s="1831"/>
      <c r="AP274" s="1831"/>
      <c r="AQ274" s="1831"/>
      <c r="AR274" s="1831"/>
      <c r="AS274" s="1831"/>
      <c r="AT274" s="1831"/>
      <c r="AU274" s="1831"/>
      <c r="AV274" s="1831"/>
      <c r="AW274" s="1831"/>
      <c r="AX274" s="1831"/>
      <c r="AY274" s="1831"/>
      <c r="AZ274" s="1831"/>
      <c r="BA274" s="1831"/>
      <c r="BB274" s="1831"/>
      <c r="BC274" s="1831"/>
      <c r="BD274" s="1831"/>
      <c r="BE274" s="1831"/>
      <c r="BF274" s="1831"/>
      <c r="BG274" s="1644"/>
    </row>
    <row customHeight="1" ht="11.25">
      <c r="A275" s="1175" t="s">
        <v>1036</v>
      </c>
      <c r="B275" s="1175" t="s">
        <v>1165</v>
      </c>
      <c r="C275" s="1175"/>
      <c r="D275" s="1169"/>
      <c r="E275" s="1179"/>
      <c r="F275" s="1837"/>
      <c r="G275" s="692" t="s">
        <v>104</v>
      </c>
      <c r="H275" s="2543" t="s">
        <v>1198</v>
      </c>
      <c r="I275" s="2544" t="s">
        <v>1167</v>
      </c>
      <c r="J275" s="2513" t="s">
        <v>1173</v>
      </c>
      <c r="K275" s="2545" t="s">
        <v>1199</v>
      </c>
      <c r="L275" s="2135" t="s">
        <v>19</v>
      </c>
      <c r="M275" s="2136"/>
      <c r="N275" s="1992"/>
      <c r="O275" s="1186" t="s">
        <v>391</v>
      </c>
      <c r="P275" s="1187"/>
      <c r="Q275" s="1187"/>
      <c r="R275" s="1187"/>
      <c r="S275" s="1187"/>
      <c r="T275" s="1187"/>
      <c r="U275" s="1187"/>
      <c r="V275" s="1187"/>
      <c r="W275" s="1187"/>
      <c r="X275" s="1187"/>
      <c r="Y275" s="1187"/>
      <c r="Z275" s="1187"/>
      <c r="AA275" s="1187"/>
      <c r="AB275" s="1187"/>
      <c r="AC275" s="1187"/>
      <c r="AD275" s="1187"/>
      <c r="AE275" s="1187"/>
      <c r="AF275" s="2534">
        <v>1</v>
      </c>
      <c r="AG275" s="2535" t="s">
        <v>1094</v>
      </c>
      <c r="AH275" s="2535" t="s">
        <v>1085</v>
      </c>
      <c r="AI275" s="2534">
        <v>1</v>
      </c>
      <c r="AJ275" s="2535" t="s">
        <v>1072</v>
      </c>
      <c r="AK275" s="2535" t="s">
        <v>1085</v>
      </c>
      <c r="AL275" s="1994"/>
      <c r="AM275" s="1831"/>
      <c r="AN275" s="1831"/>
      <c r="AO275" s="1831"/>
      <c r="AP275" s="1831"/>
      <c r="AQ275" s="1831"/>
      <c r="AR275" s="1831"/>
      <c r="AS275" s="1831"/>
      <c r="AT275" s="1831"/>
      <c r="AU275" s="1831"/>
      <c r="AV275" s="1831"/>
      <c r="AW275" s="1831"/>
      <c r="AX275" s="1831"/>
      <c r="AY275" s="1831"/>
      <c r="AZ275" s="1831"/>
      <c r="BA275" s="1831"/>
      <c r="BB275" s="1831"/>
      <c r="BC275" s="1831"/>
      <c r="BD275" s="1831"/>
      <c r="BE275" s="1831"/>
      <c r="BF275" s="1831"/>
      <c r="BG275" s="1644"/>
    </row>
    <row customHeight="1" ht="11.25">
      <c r="A276" s="1175" t="s">
        <v>1036</v>
      </c>
      <c r="B276" s="1175"/>
      <c r="C276" s="1175"/>
      <c r="D276" s="1169"/>
      <c r="E276" s="1179"/>
      <c r="F276" s="1837"/>
      <c r="G276" s="1838"/>
      <c r="H276" s="2543" t="s">
        <v>1196</v>
      </c>
      <c r="I276" s="2544"/>
      <c r="J276" s="2513"/>
      <c r="K276" s="2545"/>
      <c r="L276" s="2135"/>
      <c r="M276" s="2136"/>
      <c r="N276" s="2536"/>
      <c r="O276" s="2537">
        <v>1</v>
      </c>
      <c r="P276" s="2538" t="s">
        <v>63</v>
      </c>
      <c r="Q276" s="2725" t="s">
        <v>1075</v>
      </c>
      <c r="R276" s="2726" t="s">
        <v>1076</v>
      </c>
      <c r="S276" s="2726" t="s">
        <v>106</v>
      </c>
      <c r="T276" s="2726" t="s">
        <v>106</v>
      </c>
      <c r="U276" s="2726" t="s">
        <v>107</v>
      </c>
      <c r="V276" s="2726" t="s">
        <v>1077</v>
      </c>
      <c r="W276" s="2726" t="s">
        <v>1078</v>
      </c>
      <c r="X276" s="2726" t="s">
        <v>1079</v>
      </c>
      <c r="Y276" s="2726" t="s">
        <v>1080</v>
      </c>
      <c r="Z276" s="1184"/>
      <c r="AA276" s="1185"/>
      <c r="AB276" s="1185"/>
      <c r="AC276" s="1189"/>
      <c r="AD276" s="1189"/>
      <c r="AE276" s="1190"/>
      <c r="AF276" s="2534"/>
      <c r="AG276" s="2535"/>
      <c r="AH276" s="2535"/>
      <c r="AI276" s="2534"/>
      <c r="AJ276" s="2535"/>
      <c r="AK276" s="2535"/>
      <c r="AL276" s="1994"/>
      <c r="AM276" s="1831"/>
      <c r="AN276" s="1831"/>
      <c r="AO276" s="1831"/>
      <c r="AP276" s="1831"/>
      <c r="AQ276" s="1831"/>
      <c r="AR276" s="1831"/>
      <c r="AS276" s="1831"/>
      <c r="AT276" s="1831"/>
      <c r="AU276" s="1831"/>
      <c r="AV276" s="1831"/>
      <c r="AW276" s="1831"/>
      <c r="AX276" s="1831"/>
      <c r="AY276" s="1831"/>
      <c r="AZ276" s="1831"/>
      <c r="BA276" s="1831"/>
      <c r="BB276" s="1831"/>
      <c r="BC276" s="1831"/>
      <c r="BD276" s="1831"/>
      <c r="BE276" s="1831"/>
      <c r="BF276" s="1831"/>
      <c r="BG276" s="1644"/>
    </row>
    <row customHeight="1" ht="11.25">
      <c r="A277" s="1175" t="s">
        <v>1036</v>
      </c>
      <c r="B277" s="1175"/>
      <c r="C277" s="1175"/>
      <c r="D277" s="1169"/>
      <c r="E277" s="1179"/>
      <c r="F277" s="1837"/>
      <c r="G277" s="1838"/>
      <c r="H277" s="2543" t="s">
        <v>1196</v>
      </c>
      <c r="I277" s="2544"/>
      <c r="J277" s="2513"/>
      <c r="K277" s="2545"/>
      <c r="L277" s="2135"/>
      <c r="M277" s="2136"/>
      <c r="N277" s="2536"/>
      <c r="O277" s="2537"/>
      <c r="P277" s="2539"/>
      <c r="Q277" s="2725"/>
      <c r="R277" s="2541"/>
      <c r="S277" s="2542"/>
      <c r="T277" s="2541"/>
      <c r="U277" s="2541"/>
      <c r="V277" s="2541"/>
      <c r="W277" s="2541"/>
      <c r="X277" s="2541"/>
      <c r="Y277" s="2541"/>
      <c r="Z277" s="1836"/>
      <c r="AA277" s="1802">
        <v>1</v>
      </c>
      <c r="AB277" s="1188" t="s">
        <v>1164</v>
      </c>
      <c r="AC277" s="1178">
        <v>3660.8</v>
      </c>
      <c r="AD277" s="1188" t="str">
        <f>AB277</f>
        <v>  За счет платы за технологическое присоединение</v>
      </c>
      <c r="AE277" s="1178">
        <v>3660.8</v>
      </c>
      <c r="AF277" s="2534"/>
      <c r="AG277" s="2535"/>
      <c r="AH277" s="2535"/>
      <c r="AI277" s="2534"/>
      <c r="AJ277" s="2535"/>
      <c r="AK277" s="2535"/>
      <c r="AL277" s="1994"/>
      <c r="AM277" s="1831"/>
      <c r="AN277" s="1831"/>
      <c r="AO277" s="1831"/>
      <c r="AP277" s="1831"/>
      <c r="AQ277" s="1831"/>
      <c r="AR277" s="1831"/>
      <c r="AS277" s="1831"/>
      <c r="AT277" s="1831"/>
      <c r="AU277" s="1831"/>
      <c r="AV277" s="1831"/>
      <c r="AW277" s="1831"/>
      <c r="AX277" s="1831"/>
      <c r="AY277" s="1831"/>
      <c r="AZ277" s="1831"/>
      <c r="BA277" s="1831"/>
      <c r="BB277" s="1831"/>
      <c r="BC277" s="1831"/>
      <c r="BD277" s="1831"/>
      <c r="BE277" s="1831"/>
      <c r="BF277" s="1831"/>
      <c r="BG277" s="1644"/>
    </row>
    <row customHeight="1" ht="11.25">
      <c r="A278" s="1175" t="s">
        <v>1036</v>
      </c>
      <c r="B278" s="1175"/>
      <c r="C278" s="1175"/>
      <c r="D278" s="1169"/>
      <c r="E278" s="1179"/>
      <c r="F278" s="1838"/>
      <c r="G278" s="1838"/>
      <c r="H278" s="1838"/>
      <c r="I278" s="1838"/>
      <c r="J278" s="1838"/>
      <c r="K278" s="1838"/>
      <c r="L278" s="1838"/>
      <c r="M278" s="1838"/>
      <c r="N278" s="1838"/>
      <c r="O278" s="1838"/>
      <c r="P278" s="1838"/>
      <c r="Q278" s="1838"/>
      <c r="R278" s="1838"/>
      <c r="S278" s="1838"/>
      <c r="T278" s="1838"/>
      <c r="U278" s="1838"/>
      <c r="V278" s="1838"/>
      <c r="W278" s="1838"/>
      <c r="X278" s="1838"/>
      <c r="Y278" s="1838"/>
      <c r="Z278" s="692" t="s">
        <v>104</v>
      </c>
      <c r="AA278" s="1822" t="s">
        <v>103</v>
      </c>
      <c r="AB278" s="1188" t="s">
        <v>1091</v>
      </c>
      <c r="AC278" s="1178">
        <v>506.12</v>
      </c>
      <c r="AD278" s="1188" t="str">
        <f>AB278</f>
        <v>  Прочие собственные средства</v>
      </c>
      <c r="AE278" s="1178">
        <v>791.13</v>
      </c>
      <c r="AF278" s="2095"/>
      <c r="AG278" s="1767"/>
      <c r="AH278" s="1767"/>
      <c r="AI278" s="2095"/>
      <c r="AJ278" s="1767"/>
      <c r="AK278" s="1993"/>
      <c r="AL278" s="1994"/>
      <c r="AM278" s="1831"/>
      <c r="AN278" s="1831"/>
      <c r="AO278" s="1831"/>
      <c r="AP278" s="1831"/>
      <c r="AQ278" s="1831"/>
      <c r="AR278" s="1831"/>
      <c r="AS278" s="1831"/>
      <c r="AT278" s="1831"/>
      <c r="AU278" s="1831"/>
      <c r="AV278" s="1831"/>
      <c r="AW278" s="1831"/>
      <c r="AX278" s="1831"/>
      <c r="AY278" s="1831"/>
      <c r="AZ278" s="1831"/>
      <c r="BA278" s="1831"/>
      <c r="BB278" s="1831"/>
      <c r="BC278" s="1831"/>
      <c r="BD278" s="1831"/>
      <c r="BE278" s="1831"/>
      <c r="BF278" s="1831"/>
      <c r="BG278" s="1644"/>
    </row>
    <row customHeight="1" ht="11.25">
      <c r="A279" s="1175" t="s">
        <v>1036</v>
      </c>
      <c r="B279" s="1175"/>
      <c r="C279" s="1175"/>
      <c r="D279" s="1169"/>
      <c r="E279" s="1179"/>
      <c r="F279" s="1837"/>
      <c r="G279" s="1838"/>
      <c r="H279" s="2543" t="s">
        <v>1196</v>
      </c>
      <c r="I279" s="2544"/>
      <c r="J279" s="2513"/>
      <c r="K279" s="2545"/>
      <c r="L279" s="2135"/>
      <c r="M279" s="2136"/>
      <c r="N279" s="2536"/>
      <c r="O279" s="2537"/>
      <c r="P279" s="2540"/>
      <c r="Q279" s="2725"/>
      <c r="R279" s="2541"/>
      <c r="S279" s="2542"/>
      <c r="T279" s="2541"/>
      <c r="U279" s="2541"/>
      <c r="V279" s="2541"/>
      <c r="W279" s="2541"/>
      <c r="X279" s="2541"/>
      <c r="Y279" s="2541"/>
      <c r="Z279" s="1184"/>
      <c r="AA279" s="1185"/>
      <c r="AB279" s="1250" t="s">
        <v>1082</v>
      </c>
      <c r="AC279" s="1189"/>
      <c r="AD279" s="1189"/>
      <c r="AE279" s="1191"/>
      <c r="AF279" s="2534"/>
      <c r="AG279" s="2535"/>
      <c r="AH279" s="2535"/>
      <c r="AI279" s="2534"/>
      <c r="AJ279" s="2535"/>
      <c r="AK279" s="2535"/>
      <c r="AL279" s="1994"/>
      <c r="AM279" s="1831"/>
      <c r="AN279" s="1831"/>
      <c r="AO279" s="1831"/>
      <c r="AP279" s="1831"/>
      <c r="AQ279" s="1831"/>
      <c r="AR279" s="1831"/>
      <c r="AS279" s="1831"/>
      <c r="AT279" s="1831"/>
      <c r="AU279" s="1831"/>
      <c r="AV279" s="1831"/>
      <c r="AW279" s="1831"/>
      <c r="AX279" s="1831"/>
      <c r="AY279" s="1831"/>
      <c r="AZ279" s="1831"/>
      <c r="BA279" s="1831"/>
      <c r="BB279" s="1831"/>
      <c r="BC279" s="1831"/>
      <c r="BD279" s="1831"/>
      <c r="BE279" s="1831"/>
      <c r="BF279" s="1831"/>
      <c r="BG279" s="1644"/>
    </row>
    <row customHeight="1" ht="11.25">
      <c r="A280" s="1175" t="s">
        <v>1036</v>
      </c>
      <c r="B280" s="1175"/>
      <c r="C280" s="1175"/>
      <c r="D280" s="1169"/>
      <c r="E280" s="1179"/>
      <c r="F280" s="1837"/>
      <c r="G280" s="1838"/>
      <c r="H280" s="2543" t="s">
        <v>1196</v>
      </c>
      <c r="I280" s="2544"/>
      <c r="J280" s="2513"/>
      <c r="K280" s="2545"/>
      <c r="L280" s="2135"/>
      <c r="M280" s="2136"/>
      <c r="N280" s="1184"/>
      <c r="O280" s="1185"/>
      <c r="P280" s="1177" t="s">
        <v>1083</v>
      </c>
      <c r="Q280" s="1185"/>
      <c r="R280" s="1185"/>
      <c r="S280" s="1185"/>
      <c r="T280" s="1185"/>
      <c r="U280" s="1185"/>
      <c r="V280" s="1185"/>
      <c r="W280" s="1185"/>
      <c r="X280" s="1185"/>
      <c r="Y280" s="1185"/>
      <c r="Z280" s="1185"/>
      <c r="AA280" s="1185"/>
      <c r="AB280" s="1185"/>
      <c r="AC280" s="1185"/>
      <c r="AD280" s="1185"/>
      <c r="AE280" s="1192"/>
      <c r="AF280" s="2534"/>
      <c r="AG280" s="2535"/>
      <c r="AH280" s="2535"/>
      <c r="AI280" s="2534"/>
      <c r="AJ280" s="2535"/>
      <c r="AK280" s="2535"/>
      <c r="AL280" s="1994"/>
      <c r="AM280" s="1831"/>
      <c r="AN280" s="1831"/>
      <c r="AO280" s="1831"/>
      <c r="AP280" s="1831"/>
      <c r="AQ280" s="1831"/>
      <c r="AR280" s="1831"/>
      <c r="AS280" s="1831"/>
      <c r="AT280" s="1831"/>
      <c r="AU280" s="1831"/>
      <c r="AV280" s="1831"/>
      <c r="AW280" s="1831"/>
      <c r="AX280" s="1831"/>
      <c r="AY280" s="1831"/>
      <c r="AZ280" s="1831"/>
      <c r="BA280" s="1831"/>
      <c r="BB280" s="1831"/>
      <c r="BC280" s="1831"/>
      <c r="BD280" s="1831"/>
      <c r="BE280" s="1831"/>
      <c r="BF280" s="1831"/>
      <c r="BG280" s="1644"/>
    </row>
    <row customHeight="1" ht="11.25">
      <c r="A281" s="1175" t="s">
        <v>1036</v>
      </c>
      <c r="B281" s="1175" t="s">
        <v>1165</v>
      </c>
      <c r="C281" s="1175"/>
      <c r="D281" s="1169"/>
      <c r="E281" s="1179"/>
      <c r="F281" s="1837"/>
      <c r="G281" s="692" t="s">
        <v>104</v>
      </c>
      <c r="H281" s="2543" t="s">
        <v>1200</v>
      </c>
      <c r="I281" s="2544" t="s">
        <v>1167</v>
      </c>
      <c r="J281" s="2513" t="s">
        <v>1173</v>
      </c>
      <c r="K281" s="2545" t="s">
        <v>1201</v>
      </c>
      <c r="L281" s="2135" t="s">
        <v>19</v>
      </c>
      <c r="M281" s="2136"/>
      <c r="N281" s="1992"/>
      <c r="O281" s="1186" t="s">
        <v>391</v>
      </c>
      <c r="P281" s="1187"/>
      <c r="Q281" s="1187"/>
      <c r="R281" s="1187"/>
      <c r="S281" s="1187"/>
      <c r="T281" s="1187"/>
      <c r="U281" s="1187"/>
      <c r="V281" s="1187"/>
      <c r="W281" s="1187"/>
      <c r="X281" s="1187"/>
      <c r="Y281" s="1187"/>
      <c r="Z281" s="1187"/>
      <c r="AA281" s="1187"/>
      <c r="AB281" s="1187"/>
      <c r="AC281" s="1187"/>
      <c r="AD281" s="1187"/>
      <c r="AE281" s="1187"/>
      <c r="AF281" s="2534">
        <v>2</v>
      </c>
      <c r="AG281" s="2535" t="s">
        <v>1094</v>
      </c>
      <c r="AH281" s="2535" t="s">
        <v>1073</v>
      </c>
      <c r="AI281" s="2906">
        <v>1</v>
      </c>
      <c r="AJ281" s="2535" t="s">
        <v>1072</v>
      </c>
      <c r="AK281" s="2535" t="s">
        <v>1085</v>
      </c>
      <c r="AL281" s="1994"/>
      <c r="AM281" s="1831"/>
      <c r="AN281" s="1831"/>
      <c r="AO281" s="1831"/>
      <c r="AP281" s="1831"/>
      <c r="AQ281" s="1831"/>
      <c r="AR281" s="1831"/>
      <c r="AS281" s="1831"/>
      <c r="AT281" s="1831"/>
      <c r="AU281" s="1831"/>
      <c r="AV281" s="1831"/>
      <c r="AW281" s="1831"/>
      <c r="AX281" s="1831"/>
      <c r="AY281" s="1831"/>
      <c r="AZ281" s="1831"/>
      <c r="BA281" s="1831"/>
      <c r="BB281" s="1831"/>
      <c r="BC281" s="1831"/>
      <c r="BD281" s="1831"/>
      <c r="BE281" s="1831"/>
      <c r="BF281" s="1831"/>
      <c r="BG281" s="1644"/>
    </row>
    <row customHeight="1" ht="11.25">
      <c r="A282" s="1175" t="s">
        <v>1036</v>
      </c>
      <c r="B282" s="1175"/>
      <c r="C282" s="1175"/>
      <c r="D282" s="1169"/>
      <c r="E282" s="1179"/>
      <c r="F282" s="1837"/>
      <c r="G282" s="1838"/>
      <c r="H282" s="2543" t="s">
        <v>1198</v>
      </c>
      <c r="I282" s="2544"/>
      <c r="J282" s="2513"/>
      <c r="K282" s="2545"/>
      <c r="L282" s="2135"/>
      <c r="M282" s="2136"/>
      <c r="N282" s="2536"/>
      <c r="O282" s="2537">
        <v>1</v>
      </c>
      <c r="P282" s="2538" t="s">
        <v>63</v>
      </c>
      <c r="Q282" s="2725" t="s">
        <v>1106</v>
      </c>
      <c r="R282" s="2726" t="s">
        <v>1076</v>
      </c>
      <c r="S282" s="2726" t="s">
        <v>100</v>
      </c>
      <c r="T282" s="2726" t="s">
        <v>100</v>
      </c>
      <c r="U282" s="2726" t="s">
        <v>101</v>
      </c>
      <c r="V282" s="2726" t="s">
        <v>1107</v>
      </c>
      <c r="W282" s="2726" t="s">
        <v>1108</v>
      </c>
      <c r="X282" s="2726" t="s">
        <v>1109</v>
      </c>
      <c r="Y282" s="2726" t="s">
        <v>1110</v>
      </c>
      <c r="Z282" s="1184"/>
      <c r="AA282" s="1185"/>
      <c r="AB282" s="1185"/>
      <c r="AC282" s="1189"/>
      <c r="AD282" s="1189"/>
      <c r="AE282" s="1190"/>
      <c r="AF282" s="2534"/>
      <c r="AG282" s="2535"/>
      <c r="AH282" s="2535"/>
      <c r="AI282" s="2906"/>
      <c r="AJ282" s="2535"/>
      <c r="AK282" s="2535"/>
      <c r="AL282" s="1994"/>
      <c r="AM282" s="1831"/>
      <c r="AN282" s="1831"/>
      <c r="AO282" s="1831"/>
      <c r="AP282" s="1831"/>
      <c r="AQ282" s="1831"/>
      <c r="AR282" s="1831"/>
      <c r="AS282" s="1831"/>
      <c r="AT282" s="1831"/>
      <c r="AU282" s="1831"/>
      <c r="AV282" s="1831"/>
      <c r="AW282" s="1831"/>
      <c r="AX282" s="1831"/>
      <c r="AY282" s="1831"/>
      <c r="AZ282" s="1831"/>
      <c r="BA282" s="1831"/>
      <c r="BB282" s="1831"/>
      <c r="BC282" s="1831"/>
      <c r="BD282" s="1831"/>
      <c r="BE282" s="1831"/>
      <c r="BF282" s="1831"/>
      <c r="BG282" s="1644"/>
    </row>
    <row customHeight="1" ht="11.25">
      <c r="A283" s="1175" t="s">
        <v>1036</v>
      </c>
      <c r="B283" s="1175"/>
      <c r="C283" s="1175"/>
      <c r="D283" s="1169"/>
      <c r="E283" s="1179"/>
      <c r="F283" s="1837"/>
      <c r="G283" s="1838"/>
      <c r="H283" s="2543" t="s">
        <v>1198</v>
      </c>
      <c r="I283" s="2544"/>
      <c r="J283" s="2513"/>
      <c r="K283" s="2545"/>
      <c r="L283" s="2135"/>
      <c r="M283" s="2136"/>
      <c r="N283" s="2536"/>
      <c r="O283" s="2537"/>
      <c r="P283" s="2539"/>
      <c r="Q283" s="2725"/>
      <c r="R283" s="2541"/>
      <c r="S283" s="2542"/>
      <c r="T283" s="2541"/>
      <c r="U283" s="2541"/>
      <c r="V283" s="2541"/>
      <c r="W283" s="2541"/>
      <c r="X283" s="2541"/>
      <c r="Y283" s="2541"/>
      <c r="Z283" s="1836"/>
      <c r="AA283" s="1802">
        <v>1</v>
      </c>
      <c r="AB283" s="1188" t="s">
        <v>1164</v>
      </c>
      <c r="AC283" s="1178">
        <v>12146.36</v>
      </c>
      <c r="AD283" s="1188" t="str">
        <f>AB283</f>
        <v>  За счет платы за технологическое присоединение</v>
      </c>
      <c r="AE283" s="1178">
        <v>12743.87</v>
      </c>
      <c r="AF283" s="2534"/>
      <c r="AG283" s="2535"/>
      <c r="AH283" s="2535"/>
      <c r="AI283" s="2906"/>
      <c r="AJ283" s="2535"/>
      <c r="AK283" s="2535"/>
      <c r="AL283" s="1994"/>
      <c r="AM283" s="1831"/>
      <c r="AN283" s="1831"/>
      <c r="AO283" s="1831"/>
      <c r="AP283" s="1831"/>
      <c r="AQ283" s="1831"/>
      <c r="AR283" s="1831"/>
      <c r="AS283" s="1831"/>
      <c r="AT283" s="1831"/>
      <c r="AU283" s="1831"/>
      <c r="AV283" s="1831"/>
      <c r="AW283" s="1831"/>
      <c r="AX283" s="1831"/>
      <c r="AY283" s="1831"/>
      <c r="AZ283" s="1831"/>
      <c r="BA283" s="1831"/>
      <c r="BB283" s="1831"/>
      <c r="BC283" s="1831"/>
      <c r="BD283" s="1831"/>
      <c r="BE283" s="1831"/>
      <c r="BF283" s="1831"/>
      <c r="BG283" s="1644"/>
    </row>
    <row customHeight="1" ht="11.25">
      <c r="A284" s="1175" t="s">
        <v>1036</v>
      </c>
      <c r="B284" s="1175"/>
      <c r="C284" s="1175"/>
      <c r="D284" s="1169"/>
      <c r="E284" s="1179"/>
      <c r="F284" s="1838"/>
      <c r="G284" s="1838"/>
      <c r="H284" s="1838"/>
      <c r="I284" s="1838"/>
      <c r="J284" s="1838"/>
      <c r="K284" s="1838"/>
      <c r="L284" s="1838"/>
      <c r="M284" s="1838"/>
      <c r="N284" s="1838"/>
      <c r="O284" s="1838"/>
      <c r="P284" s="1838"/>
      <c r="Q284" s="1838"/>
      <c r="R284" s="1838"/>
      <c r="S284" s="1838"/>
      <c r="T284" s="1838"/>
      <c r="U284" s="1838"/>
      <c r="V284" s="1838"/>
      <c r="W284" s="1838"/>
      <c r="X284" s="1838"/>
      <c r="Y284" s="1838"/>
      <c r="Z284" s="692" t="s">
        <v>104</v>
      </c>
      <c r="AA284" s="1822" t="s">
        <v>103</v>
      </c>
      <c r="AB284" s="1188" t="s">
        <v>1091</v>
      </c>
      <c r="AC284" s="1178">
        <v>3465.6</v>
      </c>
      <c r="AD284" s="1188" t="str">
        <f>AB284</f>
        <v>  Прочие собственные средства</v>
      </c>
      <c r="AE284" s="1178">
        <v>1814.22</v>
      </c>
      <c r="AF284" s="2095"/>
      <c r="AG284" s="1767"/>
      <c r="AH284" s="1767"/>
      <c r="AI284" s="2908"/>
      <c r="AJ284" s="1767"/>
      <c r="AK284" s="1993"/>
      <c r="AL284" s="1994"/>
      <c r="AM284" s="1831"/>
      <c r="AN284" s="1831"/>
      <c r="AO284" s="1831"/>
      <c r="AP284" s="1831"/>
      <c r="AQ284" s="1831"/>
      <c r="AR284" s="1831"/>
      <c r="AS284" s="1831"/>
      <c r="AT284" s="1831"/>
      <c r="AU284" s="1831"/>
      <c r="AV284" s="1831"/>
      <c r="AW284" s="1831"/>
      <c r="AX284" s="1831"/>
      <c r="AY284" s="1831"/>
      <c r="AZ284" s="1831"/>
      <c r="BA284" s="1831"/>
      <c r="BB284" s="1831"/>
      <c r="BC284" s="1831"/>
      <c r="BD284" s="1831"/>
      <c r="BE284" s="1831"/>
      <c r="BF284" s="1831"/>
      <c r="BG284" s="1644"/>
    </row>
    <row customHeight="1" ht="11.25">
      <c r="A285" s="1175" t="s">
        <v>1036</v>
      </c>
      <c r="B285" s="1175"/>
      <c r="C285" s="1175"/>
      <c r="D285" s="1169"/>
      <c r="E285" s="1179"/>
      <c r="F285" s="1837"/>
      <c r="G285" s="1838"/>
      <c r="H285" s="2543" t="s">
        <v>1198</v>
      </c>
      <c r="I285" s="2544"/>
      <c r="J285" s="2513"/>
      <c r="K285" s="2545"/>
      <c r="L285" s="2135"/>
      <c r="M285" s="2136"/>
      <c r="N285" s="2536"/>
      <c r="O285" s="2537"/>
      <c r="P285" s="2540"/>
      <c r="Q285" s="2725"/>
      <c r="R285" s="2541"/>
      <c r="S285" s="2542"/>
      <c r="T285" s="2541"/>
      <c r="U285" s="2541"/>
      <c r="V285" s="2541"/>
      <c r="W285" s="2541"/>
      <c r="X285" s="2541"/>
      <c r="Y285" s="2541"/>
      <c r="Z285" s="1184"/>
      <c r="AA285" s="1185"/>
      <c r="AB285" s="1250" t="s">
        <v>1082</v>
      </c>
      <c r="AC285" s="1189"/>
      <c r="AD285" s="1189"/>
      <c r="AE285" s="1191"/>
      <c r="AF285" s="2534"/>
      <c r="AG285" s="2535"/>
      <c r="AH285" s="2535"/>
      <c r="AI285" s="2906"/>
      <c r="AJ285" s="2535"/>
      <c r="AK285" s="2535"/>
      <c r="AL285" s="1994"/>
      <c r="AM285" s="1831"/>
      <c r="AN285" s="1831"/>
      <c r="AO285" s="1831"/>
      <c r="AP285" s="1831"/>
      <c r="AQ285" s="1831"/>
      <c r="AR285" s="1831"/>
      <c r="AS285" s="1831"/>
      <c r="AT285" s="1831"/>
      <c r="AU285" s="1831"/>
      <c r="AV285" s="1831"/>
      <c r="AW285" s="1831"/>
      <c r="AX285" s="1831"/>
      <c r="AY285" s="1831"/>
      <c r="AZ285" s="1831"/>
      <c r="BA285" s="1831"/>
      <c r="BB285" s="1831"/>
      <c r="BC285" s="1831"/>
      <c r="BD285" s="1831"/>
      <c r="BE285" s="1831"/>
      <c r="BF285" s="1831"/>
      <c r="BG285" s="1644"/>
    </row>
    <row customHeight="1" ht="11.25">
      <c r="A286" s="1175" t="s">
        <v>1036</v>
      </c>
      <c r="B286" s="1175"/>
      <c r="C286" s="1175"/>
      <c r="D286" s="1169"/>
      <c r="E286" s="1179"/>
      <c r="F286" s="1837"/>
      <c r="G286" s="1838"/>
      <c r="H286" s="2543" t="s">
        <v>1198</v>
      </c>
      <c r="I286" s="2544"/>
      <c r="J286" s="2513"/>
      <c r="K286" s="2545"/>
      <c r="L286" s="2135"/>
      <c r="M286" s="2136"/>
      <c r="N286" s="1184"/>
      <c r="O286" s="1185"/>
      <c r="P286" s="1177" t="s">
        <v>1083</v>
      </c>
      <c r="Q286" s="1185"/>
      <c r="R286" s="1185"/>
      <c r="S286" s="1185"/>
      <c r="T286" s="1185"/>
      <c r="U286" s="1185"/>
      <c r="V286" s="1185"/>
      <c r="W286" s="1185"/>
      <c r="X286" s="1185"/>
      <c r="Y286" s="1185"/>
      <c r="Z286" s="1185"/>
      <c r="AA286" s="1185"/>
      <c r="AB286" s="1185"/>
      <c r="AC286" s="1185"/>
      <c r="AD286" s="1185"/>
      <c r="AE286" s="1192"/>
      <c r="AF286" s="2534"/>
      <c r="AG286" s="2535"/>
      <c r="AH286" s="2535"/>
      <c r="AI286" s="2906"/>
      <c r="AJ286" s="2535"/>
      <c r="AK286" s="2535"/>
      <c r="AL286" s="1994"/>
      <c r="AM286" s="1831"/>
      <c r="AN286" s="1831"/>
      <c r="AO286" s="1831"/>
      <c r="AP286" s="1831"/>
      <c r="AQ286" s="1831"/>
      <c r="AR286" s="1831"/>
      <c r="AS286" s="1831"/>
      <c r="AT286" s="1831"/>
      <c r="AU286" s="1831"/>
      <c r="AV286" s="1831"/>
      <c r="AW286" s="1831"/>
      <c r="AX286" s="1831"/>
      <c r="AY286" s="1831"/>
      <c r="AZ286" s="1831"/>
      <c r="BA286" s="1831"/>
      <c r="BB286" s="1831"/>
      <c r="BC286" s="1831"/>
      <c r="BD286" s="1831"/>
      <c r="BE286" s="1831"/>
      <c r="BF286" s="1831"/>
      <c r="BG286" s="1644"/>
    </row>
    <row customHeight="1" ht="11.25">
      <c r="A287" s="1175" t="s">
        <v>1036</v>
      </c>
      <c r="B287" s="1175" t="s">
        <v>1165</v>
      </c>
      <c r="C287" s="1175"/>
      <c r="D287" s="1169"/>
      <c r="E287" s="1179"/>
      <c r="F287" s="1837"/>
      <c r="G287" s="692" t="s">
        <v>104</v>
      </c>
      <c r="H287" s="2543" t="s">
        <v>1202</v>
      </c>
      <c r="I287" s="2544" t="s">
        <v>1167</v>
      </c>
      <c r="J287" s="2513" t="s">
        <v>1173</v>
      </c>
      <c r="K287" s="2545" t="s">
        <v>1203</v>
      </c>
      <c r="L287" s="2135" t="s">
        <v>19</v>
      </c>
      <c r="M287" s="2136"/>
      <c r="N287" s="1992"/>
      <c r="O287" s="1186" t="s">
        <v>391</v>
      </c>
      <c r="P287" s="1187"/>
      <c r="Q287" s="1187"/>
      <c r="R287" s="1187"/>
      <c r="S287" s="1187"/>
      <c r="T287" s="1187"/>
      <c r="U287" s="1187"/>
      <c r="V287" s="1187"/>
      <c r="W287" s="1187"/>
      <c r="X287" s="1187"/>
      <c r="Y287" s="1187"/>
      <c r="Z287" s="1187"/>
      <c r="AA287" s="1187"/>
      <c r="AB287" s="1187"/>
      <c r="AC287" s="1187"/>
      <c r="AD287" s="1187"/>
      <c r="AE287" s="1187"/>
      <c r="AF287" s="2534">
        <v>1</v>
      </c>
      <c r="AG287" s="2535" t="s">
        <v>1094</v>
      </c>
      <c r="AH287" s="2535" t="s">
        <v>1085</v>
      </c>
      <c r="AI287" s="2534">
        <v>1</v>
      </c>
      <c r="AJ287" s="2535" t="s">
        <v>1094</v>
      </c>
      <c r="AK287" s="2535" t="s">
        <v>1085</v>
      </c>
      <c r="AL287" s="1994"/>
      <c r="AM287" s="1831"/>
      <c r="AN287" s="1831"/>
      <c r="AO287" s="1831"/>
      <c r="AP287" s="1831"/>
      <c r="AQ287" s="1831"/>
      <c r="AR287" s="1831"/>
      <c r="AS287" s="1831"/>
      <c r="AT287" s="1831"/>
      <c r="AU287" s="1831"/>
      <c r="AV287" s="1831"/>
      <c r="AW287" s="1831"/>
      <c r="AX287" s="1831"/>
      <c r="AY287" s="1831"/>
      <c r="AZ287" s="1831"/>
      <c r="BA287" s="1831"/>
      <c r="BB287" s="1831"/>
      <c r="BC287" s="1831"/>
      <c r="BD287" s="1831"/>
      <c r="BE287" s="1831"/>
      <c r="BF287" s="1831"/>
      <c r="BG287" s="1644"/>
    </row>
    <row customHeight="1" ht="11.25">
      <c r="A288" s="1175" t="s">
        <v>1036</v>
      </c>
      <c r="B288" s="1175"/>
      <c r="C288" s="1175"/>
      <c r="D288" s="1169"/>
      <c r="E288" s="1179"/>
      <c r="F288" s="1837"/>
      <c r="G288" s="1838"/>
      <c r="H288" s="2543" t="s">
        <v>1200</v>
      </c>
      <c r="I288" s="2544"/>
      <c r="J288" s="2513"/>
      <c r="K288" s="2545"/>
      <c r="L288" s="2135"/>
      <c r="M288" s="2136"/>
      <c r="N288" s="2536"/>
      <c r="O288" s="2537">
        <v>1</v>
      </c>
      <c r="P288" s="2538" t="s">
        <v>63</v>
      </c>
      <c r="Q288" s="2725" t="s">
        <v>1096</v>
      </c>
      <c r="R288" s="2726" t="s">
        <v>1097</v>
      </c>
      <c r="S288" s="2726" t="s">
        <v>106</v>
      </c>
      <c r="T288" s="2726" t="s">
        <v>106</v>
      </c>
      <c r="U288" s="2726" t="s">
        <v>107</v>
      </c>
      <c r="V288" s="2726" t="s">
        <v>1077</v>
      </c>
      <c r="W288" s="2726" t="s">
        <v>1078</v>
      </c>
      <c r="X288" s="2726" t="s">
        <v>1098</v>
      </c>
      <c r="Y288" s="2726" t="s">
        <v>1099</v>
      </c>
      <c r="Z288" s="1184"/>
      <c r="AA288" s="1185"/>
      <c r="AB288" s="1185"/>
      <c r="AC288" s="1189"/>
      <c r="AD288" s="1189"/>
      <c r="AE288" s="1190"/>
      <c r="AF288" s="2534"/>
      <c r="AG288" s="2535"/>
      <c r="AH288" s="2535"/>
      <c r="AI288" s="2534"/>
      <c r="AJ288" s="2535"/>
      <c r="AK288" s="2535"/>
      <c r="AL288" s="1994"/>
      <c r="AM288" s="1831"/>
      <c r="AN288" s="1831"/>
      <c r="AO288" s="1831"/>
      <c r="AP288" s="1831"/>
      <c r="AQ288" s="1831"/>
      <c r="AR288" s="1831"/>
      <c r="AS288" s="1831"/>
      <c r="AT288" s="1831"/>
      <c r="AU288" s="1831"/>
      <c r="AV288" s="1831"/>
      <c r="AW288" s="1831"/>
      <c r="AX288" s="1831"/>
      <c r="AY288" s="1831"/>
      <c r="AZ288" s="1831"/>
      <c r="BA288" s="1831"/>
      <c r="BB288" s="1831"/>
      <c r="BC288" s="1831"/>
      <c r="BD288" s="1831"/>
      <c r="BE288" s="1831"/>
      <c r="BF288" s="1831"/>
      <c r="BG288" s="1644"/>
    </row>
    <row customHeight="1" ht="11.25">
      <c r="A289" s="1175" t="s">
        <v>1036</v>
      </c>
      <c r="B289" s="1175"/>
      <c r="C289" s="1175"/>
      <c r="D289" s="1169"/>
      <c r="E289" s="1179"/>
      <c r="F289" s="1837"/>
      <c r="G289" s="1838"/>
      <c r="H289" s="2543" t="s">
        <v>1200</v>
      </c>
      <c r="I289" s="2544"/>
      <c r="J289" s="2513"/>
      <c r="K289" s="2545"/>
      <c r="L289" s="2135"/>
      <c r="M289" s="2136"/>
      <c r="N289" s="2536"/>
      <c r="O289" s="2537"/>
      <c r="P289" s="2539"/>
      <c r="Q289" s="2725"/>
      <c r="R289" s="2541"/>
      <c r="S289" s="2542"/>
      <c r="T289" s="2541"/>
      <c r="U289" s="2541"/>
      <c r="V289" s="2541"/>
      <c r="W289" s="2541"/>
      <c r="X289" s="2541"/>
      <c r="Y289" s="2541"/>
      <c r="Z289" s="1836"/>
      <c r="AA289" s="1802">
        <v>1</v>
      </c>
      <c r="AB289" s="1188" t="s">
        <v>1164</v>
      </c>
      <c r="AC289" s="1178">
        <v>14581.03</v>
      </c>
      <c r="AD289" s="1188" t="str">
        <f>AB289</f>
        <v>  За счет платы за технологическое присоединение</v>
      </c>
      <c r="AE289" s="1178">
        <v>14500.5</v>
      </c>
      <c r="AF289" s="2534"/>
      <c r="AG289" s="2535"/>
      <c r="AH289" s="2535"/>
      <c r="AI289" s="2534"/>
      <c r="AJ289" s="2535"/>
      <c r="AK289" s="2535"/>
      <c r="AL289" s="1994"/>
      <c r="AM289" s="1831"/>
      <c r="AN289" s="1831"/>
      <c r="AO289" s="1831"/>
      <c r="AP289" s="1831"/>
      <c r="AQ289" s="1831"/>
      <c r="AR289" s="1831"/>
      <c r="AS289" s="1831"/>
      <c r="AT289" s="1831"/>
      <c r="AU289" s="1831"/>
      <c r="AV289" s="1831"/>
      <c r="AW289" s="1831"/>
      <c r="AX289" s="1831"/>
      <c r="AY289" s="1831"/>
      <c r="AZ289" s="1831"/>
      <c r="BA289" s="1831"/>
      <c r="BB289" s="1831"/>
      <c r="BC289" s="1831"/>
      <c r="BD289" s="1831"/>
      <c r="BE289" s="1831"/>
      <c r="BF289" s="1831"/>
      <c r="BG289" s="1644"/>
    </row>
    <row customHeight="1" ht="11.25">
      <c r="A290" s="1175" t="s">
        <v>1036</v>
      </c>
      <c r="B290" s="1175"/>
      <c r="C290" s="1175"/>
      <c r="D290" s="1169"/>
      <c r="E290" s="1179"/>
      <c r="F290" s="1838"/>
      <c r="G290" s="1838"/>
      <c r="H290" s="1838"/>
      <c r="I290" s="1838"/>
      <c r="J290" s="1838"/>
      <c r="K290" s="1838"/>
      <c r="L290" s="1838"/>
      <c r="M290" s="1838"/>
      <c r="N290" s="1838"/>
      <c r="O290" s="1838"/>
      <c r="P290" s="1838"/>
      <c r="Q290" s="1838"/>
      <c r="R290" s="1838"/>
      <c r="S290" s="1838"/>
      <c r="T290" s="1838"/>
      <c r="U290" s="1838"/>
      <c r="V290" s="1838"/>
      <c r="W290" s="1838"/>
      <c r="X290" s="1838"/>
      <c r="Y290" s="1838"/>
      <c r="Z290" s="692" t="s">
        <v>104</v>
      </c>
      <c r="AA290" s="1822" t="s">
        <v>103</v>
      </c>
      <c r="AB290" s="1188" t="s">
        <v>1091</v>
      </c>
      <c r="AC290" s="1178">
        <v>609.95</v>
      </c>
      <c r="AD290" s="1188" t="str">
        <f>AB290</f>
        <v>  Прочие собственные средства</v>
      </c>
      <c r="AE290" s="1178">
        <v>0</v>
      </c>
      <c r="AF290" s="2095"/>
      <c r="AG290" s="1767"/>
      <c r="AH290" s="1767"/>
      <c r="AI290" s="2095"/>
      <c r="AJ290" s="1767"/>
      <c r="AK290" s="1993"/>
      <c r="AL290" s="1994"/>
      <c r="AM290" s="1831"/>
      <c r="AN290" s="1831"/>
      <c r="AO290" s="1831"/>
      <c r="AP290" s="1831"/>
      <c r="AQ290" s="1831"/>
      <c r="AR290" s="1831"/>
      <c r="AS290" s="1831"/>
      <c r="AT290" s="1831"/>
      <c r="AU290" s="1831"/>
      <c r="AV290" s="1831"/>
      <c r="AW290" s="1831"/>
      <c r="AX290" s="1831"/>
      <c r="AY290" s="1831"/>
      <c r="AZ290" s="1831"/>
      <c r="BA290" s="1831"/>
      <c r="BB290" s="1831"/>
      <c r="BC290" s="1831"/>
      <c r="BD290" s="1831"/>
      <c r="BE290" s="1831"/>
      <c r="BF290" s="1831"/>
      <c r="BG290" s="1644"/>
    </row>
    <row customHeight="1" ht="11.25">
      <c r="A291" s="1175" t="s">
        <v>1036</v>
      </c>
      <c r="B291" s="1175"/>
      <c r="C291" s="1175"/>
      <c r="D291" s="1169"/>
      <c r="E291" s="1179"/>
      <c r="F291" s="1837"/>
      <c r="G291" s="1838"/>
      <c r="H291" s="2543" t="s">
        <v>1200</v>
      </c>
      <c r="I291" s="2544"/>
      <c r="J291" s="2513"/>
      <c r="K291" s="2545"/>
      <c r="L291" s="2135"/>
      <c r="M291" s="2136"/>
      <c r="N291" s="2536"/>
      <c r="O291" s="2537"/>
      <c r="P291" s="2540"/>
      <c r="Q291" s="2725"/>
      <c r="R291" s="2541"/>
      <c r="S291" s="2542"/>
      <c r="T291" s="2541"/>
      <c r="U291" s="2541"/>
      <c r="V291" s="2541"/>
      <c r="W291" s="2541"/>
      <c r="X291" s="2541"/>
      <c r="Y291" s="2541"/>
      <c r="Z291" s="1184"/>
      <c r="AA291" s="1185"/>
      <c r="AB291" s="1250" t="s">
        <v>1082</v>
      </c>
      <c r="AC291" s="1189"/>
      <c r="AD291" s="1189"/>
      <c r="AE291" s="1191"/>
      <c r="AF291" s="2534"/>
      <c r="AG291" s="2535"/>
      <c r="AH291" s="2535"/>
      <c r="AI291" s="2534"/>
      <c r="AJ291" s="2535"/>
      <c r="AK291" s="2535"/>
      <c r="AL291" s="1994"/>
      <c r="AM291" s="1831"/>
      <c r="AN291" s="1831"/>
      <c r="AO291" s="1831"/>
      <c r="AP291" s="1831"/>
      <c r="AQ291" s="1831"/>
      <c r="AR291" s="1831"/>
      <c r="AS291" s="1831"/>
      <c r="AT291" s="1831"/>
      <c r="AU291" s="1831"/>
      <c r="AV291" s="1831"/>
      <c r="AW291" s="1831"/>
      <c r="AX291" s="1831"/>
      <c r="AY291" s="1831"/>
      <c r="AZ291" s="1831"/>
      <c r="BA291" s="1831"/>
      <c r="BB291" s="1831"/>
      <c r="BC291" s="1831"/>
      <c r="BD291" s="1831"/>
      <c r="BE291" s="1831"/>
      <c r="BF291" s="1831"/>
      <c r="BG291" s="1644"/>
    </row>
    <row customHeight="1" ht="11.25">
      <c r="A292" s="1175" t="s">
        <v>1036</v>
      </c>
      <c r="B292" s="1175"/>
      <c r="C292" s="1175"/>
      <c r="D292" s="1169"/>
      <c r="E292" s="1179"/>
      <c r="F292" s="1837"/>
      <c r="G292" s="1838"/>
      <c r="H292" s="2543" t="s">
        <v>1200</v>
      </c>
      <c r="I292" s="2544"/>
      <c r="J292" s="2513"/>
      <c r="K292" s="2545"/>
      <c r="L292" s="2135"/>
      <c r="M292" s="2136"/>
      <c r="N292" s="1184"/>
      <c r="O292" s="1185"/>
      <c r="P292" s="1177" t="s">
        <v>1083</v>
      </c>
      <c r="Q292" s="1185"/>
      <c r="R292" s="1185"/>
      <c r="S292" s="1185"/>
      <c r="T292" s="1185"/>
      <c r="U292" s="1185"/>
      <c r="V292" s="1185"/>
      <c r="W292" s="1185"/>
      <c r="X292" s="1185"/>
      <c r="Y292" s="1185"/>
      <c r="Z292" s="1185"/>
      <c r="AA292" s="1185"/>
      <c r="AB292" s="1185"/>
      <c r="AC292" s="1185"/>
      <c r="AD292" s="1185"/>
      <c r="AE292" s="1192"/>
      <c r="AF292" s="2534"/>
      <c r="AG292" s="2535"/>
      <c r="AH292" s="2535"/>
      <c r="AI292" s="2534"/>
      <c r="AJ292" s="2535"/>
      <c r="AK292" s="2535"/>
      <c r="AL292" s="1994"/>
      <c r="AM292" s="1831"/>
      <c r="AN292" s="1831"/>
      <c r="AO292" s="1831"/>
      <c r="AP292" s="1831"/>
      <c r="AQ292" s="1831"/>
      <c r="AR292" s="1831"/>
      <c r="AS292" s="1831"/>
      <c r="AT292" s="1831"/>
      <c r="AU292" s="1831"/>
      <c r="AV292" s="1831"/>
      <c r="AW292" s="1831"/>
      <c r="AX292" s="1831"/>
      <c r="AY292" s="1831"/>
      <c r="AZ292" s="1831"/>
      <c r="BA292" s="1831"/>
      <c r="BB292" s="1831"/>
      <c r="BC292" s="1831"/>
      <c r="BD292" s="1831"/>
      <c r="BE292" s="1831"/>
      <c r="BF292" s="1831"/>
      <c r="BG292" s="1644"/>
    </row>
    <row customHeight="1" ht="11.25">
      <c r="A293" s="1175" t="s">
        <v>1036</v>
      </c>
      <c r="B293" s="1175" t="s">
        <v>1165</v>
      </c>
      <c r="C293" s="1175"/>
      <c r="D293" s="1169"/>
      <c r="E293" s="1179"/>
      <c r="F293" s="1837"/>
      <c r="G293" s="692" t="s">
        <v>104</v>
      </c>
      <c r="H293" s="2543" t="s">
        <v>1204</v>
      </c>
      <c r="I293" s="2544" t="s">
        <v>1167</v>
      </c>
      <c r="J293" s="2513" t="s">
        <v>1173</v>
      </c>
      <c r="K293" s="2545" t="s">
        <v>1205</v>
      </c>
      <c r="L293" s="2135" t="s">
        <v>19</v>
      </c>
      <c r="M293" s="2136"/>
      <c r="N293" s="1992"/>
      <c r="O293" s="1186" t="s">
        <v>391</v>
      </c>
      <c r="P293" s="1187"/>
      <c r="Q293" s="1187"/>
      <c r="R293" s="1187"/>
      <c r="S293" s="1187"/>
      <c r="T293" s="1187"/>
      <c r="U293" s="1187"/>
      <c r="V293" s="1187"/>
      <c r="W293" s="1187"/>
      <c r="X293" s="1187"/>
      <c r="Y293" s="1187"/>
      <c r="Z293" s="1187"/>
      <c r="AA293" s="1187"/>
      <c r="AB293" s="1187"/>
      <c r="AC293" s="1187"/>
      <c r="AD293" s="1187"/>
      <c r="AE293" s="1187"/>
      <c r="AF293" s="2534">
        <v>1</v>
      </c>
      <c r="AG293" s="2535" t="s">
        <v>1094</v>
      </c>
      <c r="AH293" s="2535" t="s">
        <v>1085</v>
      </c>
      <c r="AI293" s="2905"/>
      <c r="AJ293" s="2535" t="s">
        <v>1089</v>
      </c>
      <c r="AK293" s="2535" t="s">
        <v>1089</v>
      </c>
      <c r="AL293" s="1994"/>
      <c r="AM293" s="1831"/>
      <c r="AN293" s="1831"/>
      <c r="AO293" s="1831"/>
      <c r="AP293" s="1831"/>
      <c r="AQ293" s="1831"/>
      <c r="AR293" s="1831"/>
      <c r="AS293" s="1831"/>
      <c r="AT293" s="1831"/>
      <c r="AU293" s="1831"/>
      <c r="AV293" s="1831"/>
      <c r="AW293" s="1831"/>
      <c r="AX293" s="1831"/>
      <c r="AY293" s="1831"/>
      <c r="AZ293" s="1831"/>
      <c r="BA293" s="1831"/>
      <c r="BB293" s="1831"/>
      <c r="BC293" s="1831"/>
      <c r="BD293" s="1831"/>
      <c r="BE293" s="1831"/>
      <c r="BF293" s="1831"/>
      <c r="BG293" s="1644"/>
    </row>
    <row customHeight="1" ht="11.25">
      <c r="A294" s="1175" t="s">
        <v>1036</v>
      </c>
      <c r="B294" s="1175"/>
      <c r="C294" s="1175"/>
      <c r="D294" s="1169"/>
      <c r="E294" s="1179"/>
      <c r="F294" s="1837"/>
      <c r="G294" s="1838"/>
      <c r="H294" s="2543" t="s">
        <v>1202</v>
      </c>
      <c r="I294" s="2544"/>
      <c r="J294" s="2513"/>
      <c r="K294" s="2545"/>
      <c r="L294" s="2135"/>
      <c r="M294" s="2136"/>
      <c r="N294" s="2536"/>
      <c r="O294" s="2537">
        <v>1</v>
      </c>
      <c r="P294" s="2538" t="s">
        <v>63</v>
      </c>
      <c r="Q294" s="2725" t="s">
        <v>1101</v>
      </c>
      <c r="R294" s="2726" t="s">
        <v>1076</v>
      </c>
      <c r="S294" s="2726" t="s">
        <v>106</v>
      </c>
      <c r="T294" s="2726" t="s">
        <v>106</v>
      </c>
      <c r="U294" s="2726" t="s">
        <v>107</v>
      </c>
      <c r="V294" s="2726" t="s">
        <v>1077</v>
      </c>
      <c r="W294" s="2726" t="s">
        <v>1078</v>
      </c>
      <c r="X294" s="2726" t="s">
        <v>1102</v>
      </c>
      <c r="Y294" s="2726" t="s">
        <v>1103</v>
      </c>
      <c r="Z294" s="1184"/>
      <c r="AA294" s="1185"/>
      <c r="AB294" s="1185"/>
      <c r="AC294" s="1189"/>
      <c r="AD294" s="1189"/>
      <c r="AE294" s="1190"/>
      <c r="AF294" s="2534"/>
      <c r="AG294" s="2535"/>
      <c r="AH294" s="2535"/>
      <c r="AI294" s="2905"/>
      <c r="AJ294" s="2535"/>
      <c r="AK294" s="2535"/>
      <c r="AL294" s="1994"/>
      <c r="AM294" s="1831"/>
      <c r="AN294" s="1831"/>
      <c r="AO294" s="1831"/>
      <c r="AP294" s="1831"/>
      <c r="AQ294" s="1831"/>
      <c r="AR294" s="1831"/>
      <c r="AS294" s="1831"/>
      <c r="AT294" s="1831"/>
      <c r="AU294" s="1831"/>
      <c r="AV294" s="1831"/>
      <c r="AW294" s="1831"/>
      <c r="AX294" s="1831"/>
      <c r="AY294" s="1831"/>
      <c r="AZ294" s="1831"/>
      <c r="BA294" s="1831"/>
      <c r="BB294" s="1831"/>
      <c r="BC294" s="1831"/>
      <c r="BD294" s="1831"/>
      <c r="BE294" s="1831"/>
      <c r="BF294" s="1831"/>
      <c r="BG294" s="1644"/>
    </row>
    <row customHeight="1" ht="11.25">
      <c r="A295" s="1175" t="s">
        <v>1036</v>
      </c>
      <c r="B295" s="1175"/>
      <c r="C295" s="1175"/>
      <c r="D295" s="1169"/>
      <c r="E295" s="1179"/>
      <c r="F295" s="1837"/>
      <c r="G295" s="1838"/>
      <c r="H295" s="2543" t="s">
        <v>1202</v>
      </c>
      <c r="I295" s="2544"/>
      <c r="J295" s="2513"/>
      <c r="K295" s="2545"/>
      <c r="L295" s="2135"/>
      <c r="M295" s="2136"/>
      <c r="N295" s="2536"/>
      <c r="O295" s="2537"/>
      <c r="P295" s="2539"/>
      <c r="Q295" s="2725"/>
      <c r="R295" s="2541"/>
      <c r="S295" s="2542"/>
      <c r="T295" s="2541"/>
      <c r="U295" s="2541"/>
      <c r="V295" s="2541"/>
      <c r="W295" s="2541"/>
      <c r="X295" s="2541"/>
      <c r="Y295" s="2541"/>
      <c r="Z295" s="1836"/>
      <c r="AA295" s="1802">
        <v>1</v>
      </c>
      <c r="AB295" s="1188" t="s">
        <v>1164</v>
      </c>
      <c r="AC295" s="1178">
        <v>124.41</v>
      </c>
      <c r="AD295" s="1188" t="str">
        <f>AB295</f>
        <v>  За счет платы за технологическое присоединение</v>
      </c>
      <c r="AE295" s="1178">
        <v>0</v>
      </c>
      <c r="AF295" s="2534"/>
      <c r="AG295" s="2535"/>
      <c r="AH295" s="2535"/>
      <c r="AI295" s="2905"/>
      <c r="AJ295" s="2535"/>
      <c r="AK295" s="2535"/>
      <c r="AL295" s="1994"/>
      <c r="AM295" s="1831"/>
      <c r="AN295" s="1831"/>
      <c r="AO295" s="1831"/>
      <c r="AP295" s="1831"/>
      <c r="AQ295" s="1831"/>
      <c r="AR295" s="1831"/>
      <c r="AS295" s="1831"/>
      <c r="AT295" s="1831"/>
      <c r="AU295" s="1831"/>
      <c r="AV295" s="1831"/>
      <c r="AW295" s="1831"/>
      <c r="AX295" s="1831"/>
      <c r="AY295" s="1831"/>
      <c r="AZ295" s="1831"/>
      <c r="BA295" s="1831"/>
      <c r="BB295" s="1831"/>
      <c r="BC295" s="1831"/>
      <c r="BD295" s="1831"/>
      <c r="BE295" s="1831"/>
      <c r="BF295" s="1831"/>
      <c r="BG295" s="1644"/>
    </row>
    <row customHeight="1" ht="11.25">
      <c r="A296" s="1175" t="s">
        <v>1036</v>
      </c>
      <c r="B296" s="1175"/>
      <c r="C296" s="1175"/>
      <c r="D296" s="1169"/>
      <c r="E296" s="1179"/>
      <c r="F296" s="1838"/>
      <c r="G296" s="1838"/>
      <c r="H296" s="1838"/>
      <c r="I296" s="1838"/>
      <c r="J296" s="1838"/>
      <c r="K296" s="1838"/>
      <c r="L296" s="1838"/>
      <c r="M296" s="1838"/>
      <c r="N296" s="1838"/>
      <c r="O296" s="1838"/>
      <c r="P296" s="1838"/>
      <c r="Q296" s="1838"/>
      <c r="R296" s="1838"/>
      <c r="S296" s="1838"/>
      <c r="T296" s="1838"/>
      <c r="U296" s="1838"/>
      <c r="V296" s="1838"/>
      <c r="W296" s="1838"/>
      <c r="X296" s="1838"/>
      <c r="Y296" s="1838"/>
      <c r="Z296" s="692" t="s">
        <v>104</v>
      </c>
      <c r="AA296" s="1822" t="s">
        <v>103</v>
      </c>
      <c r="AB296" s="1188" t="s">
        <v>1091</v>
      </c>
      <c r="AC296" s="1178">
        <v>1110.95</v>
      </c>
      <c r="AD296" s="1188" t="str">
        <f>AB296</f>
        <v>  Прочие собственные средства</v>
      </c>
      <c r="AE296" s="1178">
        <v>0</v>
      </c>
      <c r="AF296" s="2095"/>
      <c r="AG296" s="1767"/>
      <c r="AH296" s="1767"/>
      <c r="AI296" s="2909"/>
      <c r="AJ296" s="1767"/>
      <c r="AK296" s="1993"/>
      <c r="AL296" s="1994"/>
      <c r="AM296" s="1831"/>
      <c r="AN296" s="1831"/>
      <c r="AO296" s="1831"/>
      <c r="AP296" s="1831"/>
      <c r="AQ296" s="1831"/>
      <c r="AR296" s="1831"/>
      <c r="AS296" s="1831"/>
      <c r="AT296" s="1831"/>
      <c r="AU296" s="1831"/>
      <c r="AV296" s="1831"/>
      <c r="AW296" s="1831"/>
      <c r="AX296" s="1831"/>
      <c r="AY296" s="1831"/>
      <c r="AZ296" s="1831"/>
      <c r="BA296" s="1831"/>
      <c r="BB296" s="1831"/>
      <c r="BC296" s="1831"/>
      <c r="BD296" s="1831"/>
      <c r="BE296" s="1831"/>
      <c r="BF296" s="1831"/>
      <c r="BG296" s="1644"/>
    </row>
    <row customHeight="1" ht="11.25">
      <c r="A297" s="1175" t="s">
        <v>1036</v>
      </c>
      <c r="B297" s="1175"/>
      <c r="C297" s="1175"/>
      <c r="D297" s="1169"/>
      <c r="E297" s="1179"/>
      <c r="F297" s="1837"/>
      <c r="G297" s="1838"/>
      <c r="H297" s="2543" t="s">
        <v>1202</v>
      </c>
      <c r="I297" s="2544"/>
      <c r="J297" s="2513"/>
      <c r="K297" s="2545"/>
      <c r="L297" s="2135"/>
      <c r="M297" s="2136"/>
      <c r="N297" s="2536"/>
      <c r="O297" s="2537"/>
      <c r="P297" s="2540"/>
      <c r="Q297" s="2725"/>
      <c r="R297" s="2541"/>
      <c r="S297" s="2542"/>
      <c r="T297" s="2541"/>
      <c r="U297" s="2541"/>
      <c r="V297" s="2541"/>
      <c r="W297" s="2541"/>
      <c r="X297" s="2541"/>
      <c r="Y297" s="2541"/>
      <c r="Z297" s="1184"/>
      <c r="AA297" s="1185"/>
      <c r="AB297" s="1250" t="s">
        <v>1082</v>
      </c>
      <c r="AC297" s="1189"/>
      <c r="AD297" s="1189"/>
      <c r="AE297" s="1191"/>
      <c r="AF297" s="2534"/>
      <c r="AG297" s="2535"/>
      <c r="AH297" s="2535"/>
      <c r="AI297" s="2905"/>
      <c r="AJ297" s="2535"/>
      <c r="AK297" s="2535"/>
      <c r="AL297" s="1994"/>
      <c r="AM297" s="1831"/>
      <c r="AN297" s="1831"/>
      <c r="AO297" s="1831"/>
      <c r="AP297" s="1831"/>
      <c r="AQ297" s="1831"/>
      <c r="AR297" s="1831"/>
      <c r="AS297" s="1831"/>
      <c r="AT297" s="1831"/>
      <c r="AU297" s="1831"/>
      <c r="AV297" s="1831"/>
      <c r="AW297" s="1831"/>
      <c r="AX297" s="1831"/>
      <c r="AY297" s="1831"/>
      <c r="AZ297" s="1831"/>
      <c r="BA297" s="1831"/>
      <c r="BB297" s="1831"/>
      <c r="BC297" s="1831"/>
      <c r="BD297" s="1831"/>
      <c r="BE297" s="1831"/>
      <c r="BF297" s="1831"/>
      <c r="BG297" s="1644"/>
    </row>
    <row customHeight="1" ht="11.25">
      <c r="A298" s="1175" t="s">
        <v>1036</v>
      </c>
      <c r="B298" s="1175"/>
      <c r="C298" s="1175"/>
      <c r="D298" s="1169"/>
      <c r="E298" s="1179"/>
      <c r="F298" s="1837"/>
      <c r="G298" s="1838"/>
      <c r="H298" s="2543" t="s">
        <v>1202</v>
      </c>
      <c r="I298" s="2544"/>
      <c r="J298" s="2513"/>
      <c r="K298" s="2545"/>
      <c r="L298" s="2135"/>
      <c r="M298" s="2136"/>
      <c r="N298" s="1184"/>
      <c r="O298" s="1185"/>
      <c r="P298" s="1177" t="s">
        <v>1083</v>
      </c>
      <c r="Q298" s="1185"/>
      <c r="R298" s="1185"/>
      <c r="S298" s="1185"/>
      <c r="T298" s="1185"/>
      <c r="U298" s="1185"/>
      <c r="V298" s="1185"/>
      <c r="W298" s="1185"/>
      <c r="X298" s="1185"/>
      <c r="Y298" s="1185"/>
      <c r="Z298" s="1185"/>
      <c r="AA298" s="1185"/>
      <c r="AB298" s="1185"/>
      <c r="AC298" s="1185"/>
      <c r="AD298" s="1185"/>
      <c r="AE298" s="1192"/>
      <c r="AF298" s="2534"/>
      <c r="AG298" s="2535"/>
      <c r="AH298" s="2535"/>
      <c r="AI298" s="2905"/>
      <c r="AJ298" s="2535"/>
      <c r="AK298" s="2535"/>
      <c r="AL298" s="1994"/>
      <c r="AM298" s="1831"/>
      <c r="AN298" s="1831"/>
      <c r="AO298" s="1831"/>
      <c r="AP298" s="1831"/>
      <c r="AQ298" s="1831"/>
      <c r="AR298" s="1831"/>
      <c r="AS298" s="1831"/>
      <c r="AT298" s="1831"/>
      <c r="AU298" s="1831"/>
      <c r="AV298" s="1831"/>
      <c r="AW298" s="1831"/>
      <c r="AX298" s="1831"/>
      <c r="AY298" s="1831"/>
      <c r="AZ298" s="1831"/>
      <c r="BA298" s="1831"/>
      <c r="BB298" s="1831"/>
      <c r="BC298" s="1831"/>
      <c r="BD298" s="1831"/>
      <c r="BE298" s="1831"/>
      <c r="BF298" s="1831"/>
      <c r="BG298" s="1644"/>
    </row>
    <row customHeight="1" ht="11.25">
      <c r="A299" s="1175" t="s">
        <v>1036</v>
      </c>
      <c r="B299" s="1175" t="s">
        <v>1165</v>
      </c>
      <c r="C299" s="1175"/>
      <c r="D299" s="1169"/>
      <c r="E299" s="1179"/>
      <c r="F299" s="1837"/>
      <c r="G299" s="692" t="s">
        <v>104</v>
      </c>
      <c r="H299" s="2543" t="s">
        <v>1206</v>
      </c>
      <c r="I299" s="2544" t="s">
        <v>1167</v>
      </c>
      <c r="J299" s="2513" t="s">
        <v>1173</v>
      </c>
      <c r="K299" s="2545" t="s">
        <v>1207</v>
      </c>
      <c r="L299" s="2135" t="s">
        <v>19</v>
      </c>
      <c r="M299" s="2136"/>
      <c r="N299" s="1992"/>
      <c r="O299" s="1186" t="s">
        <v>391</v>
      </c>
      <c r="P299" s="1187"/>
      <c r="Q299" s="1187"/>
      <c r="R299" s="1187"/>
      <c r="S299" s="1187"/>
      <c r="T299" s="1187"/>
      <c r="U299" s="1187"/>
      <c r="V299" s="1187"/>
      <c r="W299" s="1187"/>
      <c r="X299" s="1187"/>
      <c r="Y299" s="1187"/>
      <c r="Z299" s="1187"/>
      <c r="AA299" s="1187"/>
      <c r="AB299" s="1187"/>
      <c r="AC299" s="1187"/>
      <c r="AD299" s="1187"/>
      <c r="AE299" s="1187"/>
      <c r="AF299" s="2534">
        <v>1</v>
      </c>
      <c r="AG299" s="2535" t="s">
        <v>1094</v>
      </c>
      <c r="AH299" s="2535" t="s">
        <v>1085</v>
      </c>
      <c r="AI299" s="2534">
        <v>1</v>
      </c>
      <c r="AJ299" s="2535" t="s">
        <v>1208</v>
      </c>
      <c r="AK299" s="2535" t="s">
        <v>1085</v>
      </c>
      <c r="AL299" s="1994"/>
      <c r="AM299" s="1831"/>
      <c r="AN299" s="1831"/>
      <c r="AO299" s="1831"/>
      <c r="AP299" s="1831"/>
      <c r="AQ299" s="1831"/>
      <c r="AR299" s="1831"/>
      <c r="AS299" s="1831"/>
      <c r="AT299" s="1831"/>
      <c r="AU299" s="1831"/>
      <c r="AV299" s="1831"/>
      <c r="AW299" s="1831"/>
      <c r="AX299" s="1831"/>
      <c r="AY299" s="1831"/>
      <c r="AZ299" s="1831"/>
      <c r="BA299" s="1831"/>
      <c r="BB299" s="1831"/>
      <c r="BC299" s="1831"/>
      <c r="BD299" s="1831"/>
      <c r="BE299" s="1831"/>
      <c r="BF299" s="1831"/>
      <c r="BG299" s="1644"/>
    </row>
    <row customHeight="1" ht="11.25">
      <c r="A300" s="1175" t="s">
        <v>1036</v>
      </c>
      <c r="B300" s="1175"/>
      <c r="C300" s="1175"/>
      <c r="D300" s="1169"/>
      <c r="E300" s="1179"/>
      <c r="F300" s="1837"/>
      <c r="G300" s="1838"/>
      <c r="H300" s="2543" t="s">
        <v>1204</v>
      </c>
      <c r="I300" s="2544"/>
      <c r="J300" s="2513"/>
      <c r="K300" s="2545"/>
      <c r="L300" s="2135"/>
      <c r="M300" s="2136"/>
      <c r="N300" s="2536"/>
      <c r="O300" s="2537">
        <v>1</v>
      </c>
      <c r="P300" s="2538" t="s">
        <v>63</v>
      </c>
      <c r="Q300" s="2725" t="s">
        <v>1096</v>
      </c>
      <c r="R300" s="2726" t="s">
        <v>1097</v>
      </c>
      <c r="S300" s="2726" t="s">
        <v>106</v>
      </c>
      <c r="T300" s="2726" t="s">
        <v>106</v>
      </c>
      <c r="U300" s="2726" t="s">
        <v>107</v>
      </c>
      <c r="V300" s="2726" t="s">
        <v>1077</v>
      </c>
      <c r="W300" s="2726" t="s">
        <v>1078</v>
      </c>
      <c r="X300" s="2726" t="s">
        <v>1098</v>
      </c>
      <c r="Y300" s="2726" t="s">
        <v>1099</v>
      </c>
      <c r="Z300" s="1184"/>
      <c r="AA300" s="1185"/>
      <c r="AB300" s="1185"/>
      <c r="AC300" s="1189"/>
      <c r="AD300" s="1189"/>
      <c r="AE300" s="1190"/>
      <c r="AF300" s="2534"/>
      <c r="AG300" s="2535"/>
      <c r="AH300" s="2535"/>
      <c r="AI300" s="2534"/>
      <c r="AJ300" s="2535"/>
      <c r="AK300" s="2535"/>
      <c r="AL300" s="1994"/>
      <c r="AM300" s="1831"/>
      <c r="AN300" s="1831"/>
      <c r="AO300" s="1831"/>
      <c r="AP300" s="1831"/>
      <c r="AQ300" s="1831"/>
      <c r="AR300" s="1831"/>
      <c r="AS300" s="1831"/>
      <c r="AT300" s="1831"/>
      <c r="AU300" s="1831"/>
      <c r="AV300" s="1831"/>
      <c r="AW300" s="1831"/>
      <c r="AX300" s="1831"/>
      <c r="AY300" s="1831"/>
      <c r="AZ300" s="1831"/>
      <c r="BA300" s="1831"/>
      <c r="BB300" s="1831"/>
      <c r="BC300" s="1831"/>
      <c r="BD300" s="1831"/>
      <c r="BE300" s="1831"/>
      <c r="BF300" s="1831"/>
      <c r="BG300" s="1644"/>
    </row>
    <row customHeight="1" ht="11.25">
      <c r="A301" s="1175" t="s">
        <v>1036</v>
      </c>
      <c r="B301" s="1175"/>
      <c r="C301" s="1175"/>
      <c r="D301" s="1169"/>
      <c r="E301" s="1179"/>
      <c r="F301" s="1837"/>
      <c r="G301" s="1838"/>
      <c r="H301" s="2543" t="s">
        <v>1204</v>
      </c>
      <c r="I301" s="2544"/>
      <c r="J301" s="2513"/>
      <c r="K301" s="2545"/>
      <c r="L301" s="2135"/>
      <c r="M301" s="2136"/>
      <c r="N301" s="2536"/>
      <c r="O301" s="2537"/>
      <c r="P301" s="2539"/>
      <c r="Q301" s="2725"/>
      <c r="R301" s="2541"/>
      <c r="S301" s="2542"/>
      <c r="T301" s="2541"/>
      <c r="U301" s="2541"/>
      <c r="V301" s="2541"/>
      <c r="W301" s="2541"/>
      <c r="X301" s="2541"/>
      <c r="Y301" s="2541"/>
      <c r="Z301" s="1836"/>
      <c r="AA301" s="1802">
        <v>1</v>
      </c>
      <c r="AB301" s="1188" t="s">
        <v>1164</v>
      </c>
      <c r="AC301" s="1178">
        <v>95.14</v>
      </c>
      <c r="AD301" s="1188" t="str">
        <f>AB301</f>
        <v>  За счет платы за технологическое присоединение</v>
      </c>
      <c r="AE301" s="1178">
        <v>95.14</v>
      </c>
      <c r="AF301" s="2534"/>
      <c r="AG301" s="2535"/>
      <c r="AH301" s="2535"/>
      <c r="AI301" s="2534"/>
      <c r="AJ301" s="2535"/>
      <c r="AK301" s="2535"/>
      <c r="AL301" s="1994"/>
      <c r="AM301" s="1831"/>
      <c r="AN301" s="1831"/>
      <c r="AO301" s="1831"/>
      <c r="AP301" s="1831"/>
      <c r="AQ301" s="1831"/>
      <c r="AR301" s="1831"/>
      <c r="AS301" s="1831"/>
      <c r="AT301" s="1831"/>
      <c r="AU301" s="1831"/>
      <c r="AV301" s="1831"/>
      <c r="AW301" s="1831"/>
      <c r="AX301" s="1831"/>
      <c r="AY301" s="1831"/>
      <c r="AZ301" s="1831"/>
      <c r="BA301" s="1831"/>
      <c r="BB301" s="1831"/>
      <c r="BC301" s="1831"/>
      <c r="BD301" s="1831"/>
      <c r="BE301" s="1831"/>
      <c r="BF301" s="1831"/>
      <c r="BG301" s="1644"/>
    </row>
    <row customHeight="1" ht="11.25">
      <c r="A302" s="1175" t="s">
        <v>1036</v>
      </c>
      <c r="B302" s="1175"/>
      <c r="C302" s="1175"/>
      <c r="D302" s="1169"/>
      <c r="E302" s="1179"/>
      <c r="F302" s="1838"/>
      <c r="G302" s="1838"/>
      <c r="H302" s="1838"/>
      <c r="I302" s="1838"/>
      <c r="J302" s="1838"/>
      <c r="K302" s="1838"/>
      <c r="L302" s="1838"/>
      <c r="M302" s="1838"/>
      <c r="N302" s="1838"/>
      <c r="O302" s="1838"/>
      <c r="P302" s="1838"/>
      <c r="Q302" s="1838"/>
      <c r="R302" s="1838"/>
      <c r="S302" s="1838"/>
      <c r="T302" s="1838"/>
      <c r="U302" s="1838"/>
      <c r="V302" s="1838"/>
      <c r="W302" s="1838"/>
      <c r="X302" s="1838"/>
      <c r="Y302" s="1838"/>
      <c r="Z302" s="692" t="s">
        <v>104</v>
      </c>
      <c r="AA302" s="1822" t="s">
        <v>103</v>
      </c>
      <c r="AB302" s="1188" t="s">
        <v>1091</v>
      </c>
      <c r="AC302" s="1178">
        <v>795.98204</v>
      </c>
      <c r="AD302" s="1188" t="str">
        <f>AB302</f>
        <v>  Прочие собственные средства</v>
      </c>
      <c r="AE302" s="1178">
        <v>695.75</v>
      </c>
      <c r="AF302" s="2095"/>
      <c r="AG302" s="1767"/>
      <c r="AH302" s="1767"/>
      <c r="AI302" s="2095"/>
      <c r="AJ302" s="1767"/>
      <c r="AK302" s="1993"/>
      <c r="AL302" s="1994"/>
      <c r="AM302" s="1831"/>
      <c r="AN302" s="1831"/>
      <c r="AO302" s="1831"/>
      <c r="AP302" s="1831"/>
      <c r="AQ302" s="1831"/>
      <c r="AR302" s="1831"/>
      <c r="AS302" s="1831"/>
      <c r="AT302" s="1831"/>
      <c r="AU302" s="1831"/>
      <c r="AV302" s="1831"/>
      <c r="AW302" s="1831"/>
      <c r="AX302" s="1831"/>
      <c r="AY302" s="1831"/>
      <c r="AZ302" s="1831"/>
      <c r="BA302" s="1831"/>
      <c r="BB302" s="1831"/>
      <c r="BC302" s="1831"/>
      <c r="BD302" s="1831"/>
      <c r="BE302" s="1831"/>
      <c r="BF302" s="1831"/>
      <c r="BG302" s="1644"/>
    </row>
    <row customHeight="1" ht="11.25">
      <c r="A303" s="1175" t="s">
        <v>1036</v>
      </c>
      <c r="B303" s="1175"/>
      <c r="C303" s="1175"/>
      <c r="D303" s="1169"/>
      <c r="E303" s="1179"/>
      <c r="F303" s="1837"/>
      <c r="G303" s="1838"/>
      <c r="H303" s="2543" t="s">
        <v>1204</v>
      </c>
      <c r="I303" s="2544"/>
      <c r="J303" s="2513"/>
      <c r="K303" s="2545"/>
      <c r="L303" s="2135"/>
      <c r="M303" s="2136"/>
      <c r="N303" s="2536"/>
      <c r="O303" s="2537"/>
      <c r="P303" s="2540"/>
      <c r="Q303" s="2725"/>
      <c r="R303" s="2541"/>
      <c r="S303" s="2542"/>
      <c r="T303" s="2541"/>
      <c r="U303" s="2541"/>
      <c r="V303" s="2541"/>
      <c r="W303" s="2541"/>
      <c r="X303" s="2541"/>
      <c r="Y303" s="2541"/>
      <c r="Z303" s="1184"/>
      <c r="AA303" s="1185"/>
      <c r="AB303" s="1250" t="s">
        <v>1082</v>
      </c>
      <c r="AC303" s="1189"/>
      <c r="AD303" s="1189"/>
      <c r="AE303" s="1191"/>
      <c r="AF303" s="2534"/>
      <c r="AG303" s="2535"/>
      <c r="AH303" s="2535"/>
      <c r="AI303" s="2534"/>
      <c r="AJ303" s="2535"/>
      <c r="AK303" s="2535"/>
      <c r="AL303" s="1994"/>
      <c r="AM303" s="1831"/>
      <c r="AN303" s="1831"/>
      <c r="AO303" s="1831"/>
      <c r="AP303" s="1831"/>
      <c r="AQ303" s="1831"/>
      <c r="AR303" s="1831"/>
      <c r="AS303" s="1831"/>
      <c r="AT303" s="1831"/>
      <c r="AU303" s="1831"/>
      <c r="AV303" s="1831"/>
      <c r="AW303" s="1831"/>
      <c r="AX303" s="1831"/>
      <c r="AY303" s="1831"/>
      <c r="AZ303" s="1831"/>
      <c r="BA303" s="1831"/>
      <c r="BB303" s="1831"/>
      <c r="BC303" s="1831"/>
      <c r="BD303" s="1831"/>
      <c r="BE303" s="1831"/>
      <c r="BF303" s="1831"/>
      <c r="BG303" s="1644"/>
    </row>
    <row customHeight="1" ht="11.25">
      <c r="A304" s="1175" t="s">
        <v>1036</v>
      </c>
      <c r="B304" s="1175"/>
      <c r="C304" s="1175"/>
      <c r="D304" s="1169"/>
      <c r="E304" s="1179"/>
      <c r="F304" s="1837"/>
      <c r="G304" s="1838"/>
      <c r="H304" s="2543" t="s">
        <v>1204</v>
      </c>
      <c r="I304" s="2544"/>
      <c r="J304" s="2513"/>
      <c r="K304" s="2545"/>
      <c r="L304" s="2135"/>
      <c r="M304" s="2136"/>
      <c r="N304" s="1184"/>
      <c r="O304" s="1185"/>
      <c r="P304" s="1177" t="s">
        <v>1083</v>
      </c>
      <c r="Q304" s="1185"/>
      <c r="R304" s="1185"/>
      <c r="S304" s="1185"/>
      <c r="T304" s="1185"/>
      <c r="U304" s="1185"/>
      <c r="V304" s="1185"/>
      <c r="W304" s="1185"/>
      <c r="X304" s="1185"/>
      <c r="Y304" s="1185"/>
      <c r="Z304" s="1185"/>
      <c r="AA304" s="1185"/>
      <c r="AB304" s="1185"/>
      <c r="AC304" s="1185"/>
      <c r="AD304" s="1185"/>
      <c r="AE304" s="1192"/>
      <c r="AF304" s="2534"/>
      <c r="AG304" s="2535"/>
      <c r="AH304" s="2535"/>
      <c r="AI304" s="2534"/>
      <c r="AJ304" s="2535"/>
      <c r="AK304" s="2535"/>
      <c r="AL304" s="1994"/>
      <c r="AM304" s="1831"/>
      <c r="AN304" s="1831"/>
      <c r="AO304" s="1831"/>
      <c r="AP304" s="1831"/>
      <c r="AQ304" s="1831"/>
      <c r="AR304" s="1831"/>
      <c r="AS304" s="1831"/>
      <c r="AT304" s="1831"/>
      <c r="AU304" s="1831"/>
      <c r="AV304" s="1831"/>
      <c r="AW304" s="1831"/>
      <c r="AX304" s="1831"/>
      <c r="AY304" s="1831"/>
      <c r="AZ304" s="1831"/>
      <c r="BA304" s="1831"/>
      <c r="BB304" s="1831"/>
      <c r="BC304" s="1831"/>
      <c r="BD304" s="1831"/>
      <c r="BE304" s="1831"/>
      <c r="BF304" s="1831"/>
      <c r="BG304" s="1644"/>
    </row>
    <row customHeight="1" ht="11.25">
      <c r="A305" s="1175" t="s">
        <v>1036</v>
      </c>
      <c r="B305" s="1175" t="s">
        <v>1165</v>
      </c>
      <c r="C305" s="1175"/>
      <c r="D305" s="1169"/>
      <c r="E305" s="1179"/>
      <c r="F305" s="1837"/>
      <c r="G305" s="692" t="s">
        <v>104</v>
      </c>
      <c r="H305" s="2543" t="s">
        <v>1209</v>
      </c>
      <c r="I305" s="2544" t="s">
        <v>1167</v>
      </c>
      <c r="J305" s="2513" t="s">
        <v>1173</v>
      </c>
      <c r="K305" s="2545" t="s">
        <v>1210</v>
      </c>
      <c r="L305" s="2135" t="s">
        <v>19</v>
      </c>
      <c r="M305" s="2136"/>
      <c r="N305" s="1992"/>
      <c r="O305" s="1186" t="s">
        <v>391</v>
      </c>
      <c r="P305" s="1187"/>
      <c r="Q305" s="1187"/>
      <c r="R305" s="1187"/>
      <c r="S305" s="1187"/>
      <c r="T305" s="1187"/>
      <c r="U305" s="1187"/>
      <c r="V305" s="1187"/>
      <c r="W305" s="1187"/>
      <c r="X305" s="1187"/>
      <c r="Y305" s="1187"/>
      <c r="Z305" s="1187"/>
      <c r="AA305" s="1187"/>
      <c r="AB305" s="1187"/>
      <c r="AC305" s="1187"/>
      <c r="AD305" s="1187"/>
      <c r="AE305" s="1187"/>
      <c r="AF305" s="2534">
        <v>2</v>
      </c>
      <c r="AG305" s="2535" t="s">
        <v>1094</v>
      </c>
      <c r="AH305" s="2535" t="s">
        <v>1073</v>
      </c>
      <c r="AI305" s="2906">
        <v>1</v>
      </c>
      <c r="AJ305" s="2535" t="s">
        <v>1072</v>
      </c>
      <c r="AK305" s="2535" t="s">
        <v>1085</v>
      </c>
      <c r="AL305" s="1994"/>
      <c r="AM305" s="1831"/>
      <c r="AN305" s="1831"/>
      <c r="AO305" s="1831"/>
      <c r="AP305" s="1831"/>
      <c r="AQ305" s="1831"/>
      <c r="AR305" s="1831"/>
      <c r="AS305" s="1831"/>
      <c r="AT305" s="1831"/>
      <c r="AU305" s="1831"/>
      <c r="AV305" s="1831"/>
      <c r="AW305" s="1831"/>
      <c r="AX305" s="1831"/>
      <c r="AY305" s="1831"/>
      <c r="AZ305" s="1831"/>
      <c r="BA305" s="1831"/>
      <c r="BB305" s="1831"/>
      <c r="BC305" s="1831"/>
      <c r="BD305" s="1831"/>
      <c r="BE305" s="1831"/>
      <c r="BF305" s="1831"/>
      <c r="BG305" s="1644"/>
    </row>
    <row customHeight="1" ht="11.25">
      <c r="A306" s="1175" t="s">
        <v>1036</v>
      </c>
      <c r="B306" s="1175"/>
      <c r="C306" s="1175"/>
      <c r="D306" s="1169"/>
      <c r="E306" s="1179"/>
      <c r="F306" s="1837"/>
      <c r="G306" s="1838"/>
      <c r="H306" s="2543" t="s">
        <v>1206</v>
      </c>
      <c r="I306" s="2544"/>
      <c r="J306" s="2513"/>
      <c r="K306" s="2545"/>
      <c r="L306" s="2135"/>
      <c r="M306" s="2136"/>
      <c r="N306" s="2536"/>
      <c r="O306" s="2537">
        <v>1</v>
      </c>
      <c r="P306" s="2538" t="s">
        <v>63</v>
      </c>
      <c r="Q306" s="2725" t="s">
        <v>1075</v>
      </c>
      <c r="R306" s="2726" t="s">
        <v>1076</v>
      </c>
      <c r="S306" s="2726" t="s">
        <v>106</v>
      </c>
      <c r="T306" s="2726" t="s">
        <v>106</v>
      </c>
      <c r="U306" s="2726" t="s">
        <v>107</v>
      </c>
      <c r="V306" s="2726" t="s">
        <v>1077</v>
      </c>
      <c r="W306" s="2726" t="s">
        <v>1078</v>
      </c>
      <c r="X306" s="2726" t="s">
        <v>1079</v>
      </c>
      <c r="Y306" s="2726" t="s">
        <v>1080</v>
      </c>
      <c r="Z306" s="1184"/>
      <c r="AA306" s="1185"/>
      <c r="AB306" s="1185"/>
      <c r="AC306" s="1189"/>
      <c r="AD306" s="1189"/>
      <c r="AE306" s="1190"/>
      <c r="AF306" s="2534"/>
      <c r="AG306" s="2535"/>
      <c r="AH306" s="2535"/>
      <c r="AI306" s="2906"/>
      <c r="AJ306" s="2535"/>
      <c r="AK306" s="2535"/>
      <c r="AL306" s="1994"/>
      <c r="AM306" s="1831"/>
      <c r="AN306" s="1831"/>
      <c r="AO306" s="1831"/>
      <c r="AP306" s="1831"/>
      <c r="AQ306" s="1831"/>
      <c r="AR306" s="1831"/>
      <c r="AS306" s="1831"/>
      <c r="AT306" s="1831"/>
      <c r="AU306" s="1831"/>
      <c r="AV306" s="1831"/>
      <c r="AW306" s="1831"/>
      <c r="AX306" s="1831"/>
      <c r="AY306" s="1831"/>
      <c r="AZ306" s="1831"/>
      <c r="BA306" s="1831"/>
      <c r="BB306" s="1831"/>
      <c r="BC306" s="1831"/>
      <c r="BD306" s="1831"/>
      <c r="BE306" s="1831"/>
      <c r="BF306" s="1831"/>
      <c r="BG306" s="1644"/>
    </row>
    <row customHeight="1" ht="11.25">
      <c r="A307" s="1175" t="s">
        <v>1036</v>
      </c>
      <c r="B307" s="1175"/>
      <c r="C307" s="1175"/>
      <c r="D307" s="1169"/>
      <c r="E307" s="1179"/>
      <c r="F307" s="1837"/>
      <c r="G307" s="1838"/>
      <c r="H307" s="2543" t="s">
        <v>1206</v>
      </c>
      <c r="I307" s="2544"/>
      <c r="J307" s="2513"/>
      <c r="K307" s="2545"/>
      <c r="L307" s="2135"/>
      <c r="M307" s="2136"/>
      <c r="N307" s="2536"/>
      <c r="O307" s="2537"/>
      <c r="P307" s="2539"/>
      <c r="Q307" s="2725"/>
      <c r="R307" s="2541"/>
      <c r="S307" s="2542"/>
      <c r="T307" s="2541"/>
      <c r="U307" s="2541"/>
      <c r="V307" s="2541"/>
      <c r="W307" s="2541"/>
      <c r="X307" s="2541"/>
      <c r="Y307" s="2541"/>
      <c r="Z307" s="1836"/>
      <c r="AA307" s="1802">
        <v>1</v>
      </c>
      <c r="AB307" s="1188" t="s">
        <v>1164</v>
      </c>
      <c r="AC307" s="1178">
        <v>23563.83</v>
      </c>
      <c r="AD307" s="1188" t="str">
        <f>AB307</f>
        <v>  За счет платы за технологическое присоединение</v>
      </c>
      <c r="AE307" s="1178">
        <v>23563.83</v>
      </c>
      <c r="AF307" s="2534"/>
      <c r="AG307" s="2535"/>
      <c r="AH307" s="2535"/>
      <c r="AI307" s="2906"/>
      <c r="AJ307" s="2535"/>
      <c r="AK307" s="2535"/>
      <c r="AL307" s="1994"/>
      <c r="AM307" s="1831"/>
      <c r="AN307" s="1831"/>
      <c r="AO307" s="1831"/>
      <c r="AP307" s="1831"/>
      <c r="AQ307" s="1831"/>
      <c r="AR307" s="1831"/>
      <c r="AS307" s="1831"/>
      <c r="AT307" s="1831"/>
      <c r="AU307" s="1831"/>
      <c r="AV307" s="1831"/>
      <c r="AW307" s="1831"/>
      <c r="AX307" s="1831"/>
      <c r="AY307" s="1831"/>
      <c r="AZ307" s="1831"/>
      <c r="BA307" s="1831"/>
      <c r="BB307" s="1831"/>
      <c r="BC307" s="1831"/>
      <c r="BD307" s="1831"/>
      <c r="BE307" s="1831"/>
      <c r="BF307" s="1831"/>
      <c r="BG307" s="1644"/>
    </row>
    <row customHeight="1" ht="11.25">
      <c r="A308" s="1175" t="s">
        <v>1036</v>
      </c>
      <c r="B308" s="1175"/>
      <c r="C308" s="1175"/>
      <c r="D308" s="1169"/>
      <c r="E308" s="1179"/>
      <c r="F308" s="1838"/>
      <c r="G308" s="1838"/>
      <c r="H308" s="1838"/>
      <c r="I308" s="1838"/>
      <c r="J308" s="1838"/>
      <c r="K308" s="1838"/>
      <c r="L308" s="1838"/>
      <c r="M308" s="1838"/>
      <c r="N308" s="1838"/>
      <c r="O308" s="1838"/>
      <c r="P308" s="1838"/>
      <c r="Q308" s="1838"/>
      <c r="R308" s="1838"/>
      <c r="S308" s="1838"/>
      <c r="T308" s="1838"/>
      <c r="U308" s="1838"/>
      <c r="V308" s="1838"/>
      <c r="W308" s="1838"/>
      <c r="X308" s="1838"/>
      <c r="Y308" s="1838"/>
      <c r="Z308" s="692" t="s">
        <v>104</v>
      </c>
      <c r="AA308" s="1822" t="s">
        <v>103</v>
      </c>
      <c r="AB308" s="1188" t="s">
        <v>1091</v>
      </c>
      <c r="AC308" s="1178">
        <v>1526.7</v>
      </c>
      <c r="AD308" s="1188" t="str">
        <f>AB308</f>
        <v>  Прочие собственные средства</v>
      </c>
      <c r="AE308" s="1178">
        <v>1281.73</v>
      </c>
      <c r="AF308" s="2095"/>
      <c r="AG308" s="1767"/>
      <c r="AH308" s="1767"/>
      <c r="AI308" s="2908"/>
      <c r="AJ308" s="1767"/>
      <c r="AK308" s="1993"/>
      <c r="AL308" s="1994"/>
      <c r="AM308" s="1831"/>
      <c r="AN308" s="1831"/>
      <c r="AO308" s="1831"/>
      <c r="AP308" s="1831"/>
      <c r="AQ308" s="1831"/>
      <c r="AR308" s="1831"/>
      <c r="AS308" s="1831"/>
      <c r="AT308" s="1831"/>
      <c r="AU308" s="1831"/>
      <c r="AV308" s="1831"/>
      <c r="AW308" s="1831"/>
      <c r="AX308" s="1831"/>
      <c r="AY308" s="1831"/>
      <c r="AZ308" s="1831"/>
      <c r="BA308" s="1831"/>
      <c r="BB308" s="1831"/>
      <c r="BC308" s="1831"/>
      <c r="BD308" s="1831"/>
      <c r="BE308" s="1831"/>
      <c r="BF308" s="1831"/>
      <c r="BG308" s="1644"/>
    </row>
    <row customHeight="1" ht="11.25">
      <c r="A309" s="1175" t="s">
        <v>1036</v>
      </c>
      <c r="B309" s="1175"/>
      <c r="C309" s="1175"/>
      <c r="D309" s="1169"/>
      <c r="E309" s="1179"/>
      <c r="F309" s="1837"/>
      <c r="G309" s="1838"/>
      <c r="H309" s="2543" t="s">
        <v>1206</v>
      </c>
      <c r="I309" s="2544"/>
      <c r="J309" s="2513"/>
      <c r="K309" s="2545"/>
      <c r="L309" s="2135"/>
      <c r="M309" s="2136"/>
      <c r="N309" s="2536"/>
      <c r="O309" s="2537"/>
      <c r="P309" s="2540"/>
      <c r="Q309" s="2725"/>
      <c r="R309" s="2541"/>
      <c r="S309" s="2542"/>
      <c r="T309" s="2541"/>
      <c r="U309" s="2541"/>
      <c r="V309" s="2541"/>
      <c r="W309" s="2541"/>
      <c r="X309" s="2541"/>
      <c r="Y309" s="2541"/>
      <c r="Z309" s="1184"/>
      <c r="AA309" s="1185"/>
      <c r="AB309" s="1250" t="s">
        <v>1082</v>
      </c>
      <c r="AC309" s="1189"/>
      <c r="AD309" s="1189"/>
      <c r="AE309" s="1191"/>
      <c r="AF309" s="2534"/>
      <c r="AG309" s="2535"/>
      <c r="AH309" s="2535"/>
      <c r="AI309" s="2906"/>
      <c r="AJ309" s="2535"/>
      <c r="AK309" s="2535"/>
      <c r="AL309" s="1994"/>
      <c r="AM309" s="1831"/>
      <c r="AN309" s="1831"/>
      <c r="AO309" s="1831"/>
      <c r="AP309" s="1831"/>
      <c r="AQ309" s="1831"/>
      <c r="AR309" s="1831"/>
      <c r="AS309" s="1831"/>
      <c r="AT309" s="1831"/>
      <c r="AU309" s="1831"/>
      <c r="AV309" s="1831"/>
      <c r="AW309" s="1831"/>
      <c r="AX309" s="1831"/>
      <c r="AY309" s="1831"/>
      <c r="AZ309" s="1831"/>
      <c r="BA309" s="1831"/>
      <c r="BB309" s="1831"/>
      <c r="BC309" s="1831"/>
      <c r="BD309" s="1831"/>
      <c r="BE309" s="1831"/>
      <c r="BF309" s="1831"/>
      <c r="BG309" s="1644"/>
    </row>
    <row customHeight="1" ht="11.25">
      <c r="A310" s="1175" t="s">
        <v>1036</v>
      </c>
      <c r="B310" s="1175"/>
      <c r="C310" s="1175"/>
      <c r="D310" s="1169"/>
      <c r="E310" s="1179"/>
      <c r="F310" s="1837"/>
      <c r="G310" s="1838"/>
      <c r="H310" s="2543" t="s">
        <v>1206</v>
      </c>
      <c r="I310" s="2544"/>
      <c r="J310" s="2513"/>
      <c r="K310" s="2545"/>
      <c r="L310" s="2135"/>
      <c r="M310" s="2136"/>
      <c r="N310" s="1184"/>
      <c r="O310" s="1185"/>
      <c r="P310" s="1177" t="s">
        <v>1083</v>
      </c>
      <c r="Q310" s="1185"/>
      <c r="R310" s="1185"/>
      <c r="S310" s="1185"/>
      <c r="T310" s="1185"/>
      <c r="U310" s="1185"/>
      <c r="V310" s="1185"/>
      <c r="W310" s="1185"/>
      <c r="X310" s="1185"/>
      <c r="Y310" s="1185"/>
      <c r="Z310" s="1185"/>
      <c r="AA310" s="1185"/>
      <c r="AB310" s="1185"/>
      <c r="AC310" s="1185"/>
      <c r="AD310" s="1185"/>
      <c r="AE310" s="1192"/>
      <c r="AF310" s="2534"/>
      <c r="AG310" s="2535"/>
      <c r="AH310" s="2535"/>
      <c r="AI310" s="2906"/>
      <c r="AJ310" s="2535"/>
      <c r="AK310" s="2535"/>
      <c r="AL310" s="1994"/>
      <c r="AM310" s="1831"/>
      <c r="AN310" s="1831"/>
      <c r="AO310" s="1831"/>
      <c r="AP310" s="1831"/>
      <c r="AQ310" s="1831"/>
      <c r="AR310" s="1831"/>
      <c r="AS310" s="1831"/>
      <c r="AT310" s="1831"/>
      <c r="AU310" s="1831"/>
      <c r="AV310" s="1831"/>
      <c r="AW310" s="1831"/>
      <c r="AX310" s="1831"/>
      <c r="AY310" s="1831"/>
      <c r="AZ310" s="1831"/>
      <c r="BA310" s="1831"/>
      <c r="BB310" s="1831"/>
      <c r="BC310" s="1831"/>
      <c r="BD310" s="1831"/>
      <c r="BE310" s="1831"/>
      <c r="BF310" s="1831"/>
      <c r="BG310" s="1644"/>
    </row>
    <row customHeight="1" ht="11.25">
      <c r="A311" s="1175" t="s">
        <v>1036</v>
      </c>
      <c r="B311" s="1175" t="s">
        <v>1165</v>
      </c>
      <c r="C311" s="1175"/>
      <c r="D311" s="1169"/>
      <c r="E311" s="1179"/>
      <c r="F311" s="1837"/>
      <c r="G311" s="692" t="s">
        <v>104</v>
      </c>
      <c r="H311" s="2543" t="s">
        <v>1211</v>
      </c>
      <c r="I311" s="2544" t="s">
        <v>1167</v>
      </c>
      <c r="J311" s="2513" t="s">
        <v>1173</v>
      </c>
      <c r="K311" s="2545" t="s">
        <v>1212</v>
      </c>
      <c r="L311" s="2135" t="s">
        <v>19</v>
      </c>
      <c r="M311" s="2136"/>
      <c r="N311" s="1992"/>
      <c r="O311" s="1186" t="s">
        <v>391</v>
      </c>
      <c r="P311" s="1187"/>
      <c r="Q311" s="1187"/>
      <c r="R311" s="1187"/>
      <c r="S311" s="1187"/>
      <c r="T311" s="1187"/>
      <c r="U311" s="1187"/>
      <c r="V311" s="1187"/>
      <c r="W311" s="1187"/>
      <c r="X311" s="1187"/>
      <c r="Y311" s="1187"/>
      <c r="Z311" s="1187"/>
      <c r="AA311" s="1187"/>
      <c r="AB311" s="1187"/>
      <c r="AC311" s="1187"/>
      <c r="AD311" s="1187"/>
      <c r="AE311" s="1187"/>
      <c r="AF311" s="2534">
        <v>2</v>
      </c>
      <c r="AG311" s="2535" t="s">
        <v>1094</v>
      </c>
      <c r="AH311" s="2535" t="s">
        <v>1073</v>
      </c>
      <c r="AI311" s="2906">
        <v>1</v>
      </c>
      <c r="AJ311" s="2535" t="s">
        <v>1072</v>
      </c>
      <c r="AK311" s="2535" t="s">
        <v>1085</v>
      </c>
      <c r="AL311" s="1994"/>
      <c r="AM311" s="1831"/>
      <c r="AN311" s="1831"/>
      <c r="AO311" s="1831"/>
      <c r="AP311" s="1831"/>
      <c r="AQ311" s="1831"/>
      <c r="AR311" s="1831"/>
      <c r="AS311" s="1831"/>
      <c r="AT311" s="1831"/>
      <c r="AU311" s="1831"/>
      <c r="AV311" s="1831"/>
      <c r="AW311" s="1831"/>
      <c r="AX311" s="1831"/>
      <c r="AY311" s="1831"/>
      <c r="AZ311" s="1831"/>
      <c r="BA311" s="1831"/>
      <c r="BB311" s="1831"/>
      <c r="BC311" s="1831"/>
      <c r="BD311" s="1831"/>
      <c r="BE311" s="1831"/>
      <c r="BF311" s="1831"/>
      <c r="BG311" s="1644"/>
    </row>
    <row customHeight="1" ht="11.25">
      <c r="A312" s="1175" t="s">
        <v>1036</v>
      </c>
      <c r="B312" s="1175"/>
      <c r="C312" s="1175"/>
      <c r="D312" s="1169"/>
      <c r="E312" s="1179"/>
      <c r="F312" s="1837"/>
      <c r="G312" s="1838"/>
      <c r="H312" s="2543" t="s">
        <v>1209</v>
      </c>
      <c r="I312" s="2544"/>
      <c r="J312" s="2513"/>
      <c r="K312" s="2545"/>
      <c r="L312" s="2135"/>
      <c r="M312" s="2136"/>
      <c r="N312" s="2536"/>
      <c r="O312" s="2537">
        <v>1</v>
      </c>
      <c r="P312" s="2538" t="s">
        <v>63</v>
      </c>
      <c r="Q312" s="2725" t="s">
        <v>1075</v>
      </c>
      <c r="R312" s="2726" t="s">
        <v>1076</v>
      </c>
      <c r="S312" s="2726" t="s">
        <v>106</v>
      </c>
      <c r="T312" s="2726" t="s">
        <v>106</v>
      </c>
      <c r="U312" s="2726" t="s">
        <v>107</v>
      </c>
      <c r="V312" s="2726" t="s">
        <v>1077</v>
      </c>
      <c r="W312" s="2726" t="s">
        <v>1078</v>
      </c>
      <c r="X312" s="2726" t="s">
        <v>1079</v>
      </c>
      <c r="Y312" s="2726" t="s">
        <v>1080</v>
      </c>
      <c r="Z312" s="1184"/>
      <c r="AA312" s="1185"/>
      <c r="AB312" s="1185"/>
      <c r="AC312" s="1189"/>
      <c r="AD312" s="1189"/>
      <c r="AE312" s="1190"/>
      <c r="AF312" s="2534"/>
      <c r="AG312" s="2535"/>
      <c r="AH312" s="2535"/>
      <c r="AI312" s="2906"/>
      <c r="AJ312" s="2535"/>
      <c r="AK312" s="2535"/>
      <c r="AL312" s="1994"/>
      <c r="AM312" s="1831"/>
      <c r="AN312" s="1831"/>
      <c r="AO312" s="1831"/>
      <c r="AP312" s="1831"/>
      <c r="AQ312" s="1831"/>
      <c r="AR312" s="1831"/>
      <c r="AS312" s="1831"/>
      <c r="AT312" s="1831"/>
      <c r="AU312" s="1831"/>
      <c r="AV312" s="1831"/>
      <c r="AW312" s="1831"/>
      <c r="AX312" s="1831"/>
      <c r="AY312" s="1831"/>
      <c r="AZ312" s="1831"/>
      <c r="BA312" s="1831"/>
      <c r="BB312" s="1831"/>
      <c r="BC312" s="1831"/>
      <c r="BD312" s="1831"/>
      <c r="BE312" s="1831"/>
      <c r="BF312" s="1831"/>
      <c r="BG312" s="1644"/>
    </row>
    <row customHeight="1" ht="11.25">
      <c r="A313" s="1175" t="s">
        <v>1036</v>
      </c>
      <c r="B313" s="1175"/>
      <c r="C313" s="1175"/>
      <c r="D313" s="1169"/>
      <c r="E313" s="1179"/>
      <c r="F313" s="1837"/>
      <c r="G313" s="1838"/>
      <c r="H313" s="2543" t="s">
        <v>1209</v>
      </c>
      <c r="I313" s="2544"/>
      <c r="J313" s="2513"/>
      <c r="K313" s="2545"/>
      <c r="L313" s="2135"/>
      <c r="M313" s="2136"/>
      <c r="N313" s="2536"/>
      <c r="O313" s="2537"/>
      <c r="P313" s="2539"/>
      <c r="Q313" s="2725"/>
      <c r="R313" s="2541"/>
      <c r="S313" s="2542"/>
      <c r="T313" s="2541"/>
      <c r="U313" s="2541"/>
      <c r="V313" s="2541"/>
      <c r="W313" s="2541"/>
      <c r="X313" s="2541"/>
      <c r="Y313" s="2541"/>
      <c r="Z313" s="1836"/>
      <c r="AA313" s="1802">
        <v>1</v>
      </c>
      <c r="AB313" s="1188" t="s">
        <v>1164</v>
      </c>
      <c r="AC313" s="1178">
        <v>36443.51</v>
      </c>
      <c r="AD313" s="1188" t="str">
        <f>AB313</f>
        <v>  За счет платы за технологическое присоединение</v>
      </c>
      <c r="AE313" s="1178">
        <v>37079.99</v>
      </c>
      <c r="AF313" s="2534"/>
      <c r="AG313" s="2535"/>
      <c r="AH313" s="2535"/>
      <c r="AI313" s="2906"/>
      <c r="AJ313" s="2535"/>
      <c r="AK313" s="2535"/>
      <c r="AL313" s="1994"/>
      <c r="AM313" s="1831"/>
      <c r="AN313" s="1831"/>
      <c r="AO313" s="1831"/>
      <c r="AP313" s="1831"/>
      <c r="AQ313" s="1831"/>
      <c r="AR313" s="1831"/>
      <c r="AS313" s="1831"/>
      <c r="AT313" s="1831"/>
      <c r="AU313" s="1831"/>
      <c r="AV313" s="1831"/>
      <c r="AW313" s="1831"/>
      <c r="AX313" s="1831"/>
      <c r="AY313" s="1831"/>
      <c r="AZ313" s="1831"/>
      <c r="BA313" s="1831"/>
      <c r="BB313" s="1831"/>
      <c r="BC313" s="1831"/>
      <c r="BD313" s="1831"/>
      <c r="BE313" s="1831"/>
      <c r="BF313" s="1831"/>
      <c r="BG313" s="1644"/>
    </row>
    <row customHeight="1" ht="11.25">
      <c r="A314" s="1175" t="s">
        <v>1036</v>
      </c>
      <c r="B314" s="1175"/>
      <c r="C314" s="1175"/>
      <c r="D314" s="1169"/>
      <c r="E314" s="1179"/>
      <c r="F314" s="1838"/>
      <c r="G314" s="1838"/>
      <c r="H314" s="1838"/>
      <c r="I314" s="1838"/>
      <c r="J314" s="1838"/>
      <c r="K314" s="1838"/>
      <c r="L314" s="1838"/>
      <c r="M314" s="1838"/>
      <c r="N314" s="1838"/>
      <c r="O314" s="1838"/>
      <c r="P314" s="1838"/>
      <c r="Q314" s="1838"/>
      <c r="R314" s="1838"/>
      <c r="S314" s="1838"/>
      <c r="T314" s="1838"/>
      <c r="U314" s="1838"/>
      <c r="V314" s="1838"/>
      <c r="W314" s="1838"/>
      <c r="X314" s="1838"/>
      <c r="Y314" s="1838"/>
      <c r="Z314" s="692" t="s">
        <v>104</v>
      </c>
      <c r="AA314" s="1822" t="s">
        <v>103</v>
      </c>
      <c r="AB314" s="1188" t="s">
        <v>1091</v>
      </c>
      <c r="AC314" s="1178">
        <v>0</v>
      </c>
      <c r="AD314" s="1188" t="str">
        <f>AB314</f>
        <v>  Прочие собственные средства</v>
      </c>
      <c r="AE314" s="1178">
        <v>350.71</v>
      </c>
      <c r="AF314" s="2095"/>
      <c r="AG314" s="1767"/>
      <c r="AH314" s="1767"/>
      <c r="AI314" s="2095"/>
      <c r="AJ314" s="1767"/>
      <c r="AK314" s="1993"/>
      <c r="AL314" s="1994"/>
      <c r="AM314" s="1831"/>
      <c r="AN314" s="1831"/>
      <c r="AO314" s="1831"/>
      <c r="AP314" s="1831"/>
      <c r="AQ314" s="1831"/>
      <c r="AR314" s="1831"/>
      <c r="AS314" s="1831"/>
      <c r="AT314" s="1831"/>
      <c r="AU314" s="1831"/>
      <c r="AV314" s="1831"/>
      <c r="AW314" s="1831"/>
      <c r="AX314" s="1831"/>
      <c r="AY314" s="1831"/>
      <c r="AZ314" s="1831"/>
      <c r="BA314" s="1831"/>
      <c r="BB314" s="1831"/>
      <c r="BC314" s="1831"/>
      <c r="BD314" s="1831"/>
      <c r="BE314" s="1831"/>
      <c r="BF314" s="1831"/>
      <c r="BG314" s="1644"/>
    </row>
    <row customHeight="1" ht="11.25">
      <c r="A315" s="1175" t="s">
        <v>1036</v>
      </c>
      <c r="B315" s="1175"/>
      <c r="C315" s="1175"/>
      <c r="D315" s="1169"/>
      <c r="E315" s="1179"/>
      <c r="F315" s="1837"/>
      <c r="G315" s="1838"/>
      <c r="H315" s="2543" t="s">
        <v>1209</v>
      </c>
      <c r="I315" s="2544"/>
      <c r="J315" s="2513"/>
      <c r="K315" s="2545"/>
      <c r="L315" s="2135"/>
      <c r="M315" s="2136"/>
      <c r="N315" s="2536"/>
      <c r="O315" s="2537"/>
      <c r="P315" s="2540"/>
      <c r="Q315" s="2725"/>
      <c r="R315" s="2541"/>
      <c r="S315" s="2542"/>
      <c r="T315" s="2541"/>
      <c r="U315" s="2541"/>
      <c r="V315" s="2541"/>
      <c r="W315" s="2541"/>
      <c r="X315" s="2541"/>
      <c r="Y315" s="2541"/>
      <c r="Z315" s="1184"/>
      <c r="AA315" s="1185"/>
      <c r="AB315" s="1250" t="s">
        <v>1082</v>
      </c>
      <c r="AC315" s="1189"/>
      <c r="AD315" s="1189"/>
      <c r="AE315" s="1191"/>
      <c r="AF315" s="2534"/>
      <c r="AG315" s="2535"/>
      <c r="AH315" s="2535"/>
      <c r="AI315" s="2906"/>
      <c r="AJ315" s="2535"/>
      <c r="AK315" s="2535"/>
      <c r="AL315" s="1994"/>
      <c r="AM315" s="1831"/>
      <c r="AN315" s="1831"/>
      <c r="AO315" s="1831"/>
      <c r="AP315" s="1831"/>
      <c r="AQ315" s="1831"/>
      <c r="AR315" s="1831"/>
      <c r="AS315" s="1831"/>
      <c r="AT315" s="1831"/>
      <c r="AU315" s="1831"/>
      <c r="AV315" s="1831"/>
      <c r="AW315" s="1831"/>
      <c r="AX315" s="1831"/>
      <c r="AY315" s="1831"/>
      <c r="AZ315" s="1831"/>
      <c r="BA315" s="1831"/>
      <c r="BB315" s="1831"/>
      <c r="BC315" s="1831"/>
      <c r="BD315" s="1831"/>
      <c r="BE315" s="1831"/>
      <c r="BF315" s="1831"/>
      <c r="BG315" s="1644"/>
    </row>
    <row customHeight="1" ht="11.25">
      <c r="A316" s="1175" t="s">
        <v>1036</v>
      </c>
      <c r="B316" s="1175"/>
      <c r="C316" s="1175"/>
      <c r="D316" s="1169"/>
      <c r="E316" s="1179"/>
      <c r="F316" s="1837"/>
      <c r="G316" s="1838"/>
      <c r="H316" s="2543" t="s">
        <v>1209</v>
      </c>
      <c r="I316" s="2544"/>
      <c r="J316" s="2513"/>
      <c r="K316" s="2545"/>
      <c r="L316" s="2135"/>
      <c r="M316" s="2136"/>
      <c r="N316" s="1184"/>
      <c r="O316" s="1185"/>
      <c r="P316" s="1177" t="s">
        <v>1083</v>
      </c>
      <c r="Q316" s="1185"/>
      <c r="R316" s="1185"/>
      <c r="S316" s="1185"/>
      <c r="T316" s="1185"/>
      <c r="U316" s="1185"/>
      <c r="V316" s="1185"/>
      <c r="W316" s="1185"/>
      <c r="X316" s="1185"/>
      <c r="Y316" s="1185"/>
      <c r="Z316" s="1185"/>
      <c r="AA316" s="1185"/>
      <c r="AB316" s="1185"/>
      <c r="AC316" s="1185"/>
      <c r="AD316" s="1185"/>
      <c r="AE316" s="1192"/>
      <c r="AF316" s="2534"/>
      <c r="AG316" s="2535"/>
      <c r="AH316" s="2535"/>
      <c r="AI316" s="2906"/>
      <c r="AJ316" s="2535"/>
      <c r="AK316" s="2535"/>
      <c r="AL316" s="1994"/>
      <c r="AM316" s="1831"/>
      <c r="AN316" s="1831"/>
      <c r="AO316" s="1831"/>
      <c r="AP316" s="1831"/>
      <c r="AQ316" s="1831"/>
      <c r="AR316" s="1831"/>
      <c r="AS316" s="1831"/>
      <c r="AT316" s="1831"/>
      <c r="AU316" s="1831"/>
      <c r="AV316" s="1831"/>
      <c r="AW316" s="1831"/>
      <c r="AX316" s="1831"/>
      <c r="AY316" s="1831"/>
      <c r="AZ316" s="1831"/>
      <c r="BA316" s="1831"/>
      <c r="BB316" s="1831"/>
      <c r="BC316" s="1831"/>
      <c r="BD316" s="1831"/>
      <c r="BE316" s="1831"/>
      <c r="BF316" s="1831"/>
      <c r="BG316" s="1644"/>
    </row>
    <row customHeight="1" ht="11.25">
      <c r="A317" s="1175" t="s">
        <v>1036</v>
      </c>
      <c r="B317" s="1175" t="s">
        <v>1165</v>
      </c>
      <c r="C317" s="1175"/>
      <c r="D317" s="1169"/>
      <c r="E317" s="1179"/>
      <c r="F317" s="1837"/>
      <c r="G317" s="692" t="s">
        <v>104</v>
      </c>
      <c r="H317" s="2543" t="s">
        <v>1213</v>
      </c>
      <c r="I317" s="2544" t="s">
        <v>1167</v>
      </c>
      <c r="J317" s="2513" t="s">
        <v>1214</v>
      </c>
      <c r="K317" s="2545" t="s">
        <v>1215</v>
      </c>
      <c r="L317" s="2135" t="s">
        <v>19</v>
      </c>
      <c r="M317" s="2136"/>
      <c r="N317" s="1992"/>
      <c r="O317" s="1186" t="s">
        <v>391</v>
      </c>
      <c r="P317" s="1187"/>
      <c r="Q317" s="1187"/>
      <c r="R317" s="1187"/>
      <c r="S317" s="1187"/>
      <c r="T317" s="1187"/>
      <c r="U317" s="1187"/>
      <c r="V317" s="1187"/>
      <c r="W317" s="1187"/>
      <c r="X317" s="1187"/>
      <c r="Y317" s="1187"/>
      <c r="Z317" s="1187"/>
      <c r="AA317" s="1187"/>
      <c r="AB317" s="1187"/>
      <c r="AC317" s="1187"/>
      <c r="AD317" s="1187"/>
      <c r="AE317" s="1187"/>
      <c r="AF317" s="2534">
        <v>1</v>
      </c>
      <c r="AG317" s="2535" t="s">
        <v>1072</v>
      </c>
      <c r="AH317" s="2535" t="s">
        <v>1085</v>
      </c>
      <c r="AI317" s="2534">
        <v>1</v>
      </c>
      <c r="AJ317" s="2535" t="s">
        <v>1072</v>
      </c>
      <c r="AK317" s="2535" t="s">
        <v>1085</v>
      </c>
      <c r="AL317" s="1994"/>
      <c r="AM317" s="1831"/>
      <c r="AN317" s="1831"/>
      <c r="AO317" s="1831"/>
      <c r="AP317" s="1831"/>
      <c r="AQ317" s="1831"/>
      <c r="AR317" s="1831"/>
      <c r="AS317" s="1831"/>
      <c r="AT317" s="1831"/>
      <c r="AU317" s="1831"/>
      <c r="AV317" s="1831"/>
      <c r="AW317" s="1831"/>
      <c r="AX317" s="1831"/>
      <c r="AY317" s="1831"/>
      <c r="AZ317" s="1831"/>
      <c r="BA317" s="1831"/>
      <c r="BB317" s="1831"/>
      <c r="BC317" s="1831"/>
      <c r="BD317" s="1831"/>
      <c r="BE317" s="1831"/>
      <c r="BF317" s="1831"/>
      <c r="BG317" s="1644"/>
    </row>
    <row customHeight="1" ht="11.25">
      <c r="A318" s="1175" t="s">
        <v>1036</v>
      </c>
      <c r="B318" s="1175"/>
      <c r="C318" s="1175"/>
      <c r="D318" s="1169"/>
      <c r="E318" s="1179"/>
      <c r="F318" s="1837"/>
      <c r="G318" s="1838"/>
      <c r="H318" s="2543" t="s">
        <v>1211</v>
      </c>
      <c r="I318" s="2544"/>
      <c r="J318" s="2513"/>
      <c r="K318" s="2545"/>
      <c r="L318" s="2135"/>
      <c r="M318" s="2136"/>
      <c r="N318" s="2536"/>
      <c r="O318" s="2537">
        <v>1</v>
      </c>
      <c r="P318" s="2538" t="s">
        <v>63</v>
      </c>
      <c r="Q318" s="2725" t="s">
        <v>1106</v>
      </c>
      <c r="R318" s="2726" t="s">
        <v>1076</v>
      </c>
      <c r="S318" s="2726" t="s">
        <v>100</v>
      </c>
      <c r="T318" s="2726" t="s">
        <v>100</v>
      </c>
      <c r="U318" s="2726" t="s">
        <v>101</v>
      </c>
      <c r="V318" s="2726" t="s">
        <v>1107</v>
      </c>
      <c r="W318" s="2726" t="s">
        <v>1108</v>
      </c>
      <c r="X318" s="2726" t="s">
        <v>1109</v>
      </c>
      <c r="Y318" s="2726" t="s">
        <v>1110</v>
      </c>
      <c r="Z318" s="1184"/>
      <c r="AA318" s="1185"/>
      <c r="AB318" s="1185"/>
      <c r="AC318" s="1189"/>
      <c r="AD318" s="1189"/>
      <c r="AE318" s="1190"/>
      <c r="AF318" s="2534"/>
      <c r="AG318" s="2535"/>
      <c r="AH318" s="2535"/>
      <c r="AI318" s="2534"/>
      <c r="AJ318" s="2535"/>
      <c r="AK318" s="2535"/>
      <c r="AL318" s="1994"/>
      <c r="AM318" s="1831"/>
      <c r="AN318" s="1831"/>
      <c r="AO318" s="1831"/>
      <c r="AP318" s="1831"/>
      <c r="AQ318" s="1831"/>
      <c r="AR318" s="1831"/>
      <c r="AS318" s="1831"/>
      <c r="AT318" s="1831"/>
      <c r="AU318" s="1831"/>
      <c r="AV318" s="1831"/>
      <c r="AW318" s="1831"/>
      <c r="AX318" s="1831"/>
      <c r="AY318" s="1831"/>
      <c r="AZ318" s="1831"/>
      <c r="BA318" s="1831"/>
      <c r="BB318" s="1831"/>
      <c r="BC318" s="1831"/>
      <c r="BD318" s="1831"/>
      <c r="BE318" s="1831"/>
      <c r="BF318" s="1831"/>
      <c r="BG318" s="1644"/>
    </row>
    <row customHeight="1" ht="11.25">
      <c r="A319" s="1175" t="s">
        <v>1036</v>
      </c>
      <c r="B319" s="1175"/>
      <c r="C319" s="1175"/>
      <c r="D319" s="1169"/>
      <c r="E319" s="1179"/>
      <c r="F319" s="1837"/>
      <c r="G319" s="1838"/>
      <c r="H319" s="2543" t="s">
        <v>1211</v>
      </c>
      <c r="I319" s="2544"/>
      <c r="J319" s="2513"/>
      <c r="K319" s="2545"/>
      <c r="L319" s="2135"/>
      <c r="M319" s="2136"/>
      <c r="N319" s="2536"/>
      <c r="O319" s="2537"/>
      <c r="P319" s="2539"/>
      <c r="Q319" s="2725"/>
      <c r="R319" s="2541"/>
      <c r="S319" s="2542"/>
      <c r="T319" s="2541"/>
      <c r="U319" s="2541"/>
      <c r="V319" s="2541"/>
      <c r="W319" s="2541"/>
      <c r="X319" s="2541"/>
      <c r="Y319" s="2541"/>
      <c r="Z319" s="1836"/>
      <c r="AA319" s="1802">
        <v>1</v>
      </c>
      <c r="AB319" s="1188" t="s">
        <v>1164</v>
      </c>
      <c r="AC319" s="1178">
        <v>353.65</v>
      </c>
      <c r="AD319" s="1188" t="str">
        <f>AB319</f>
        <v>  За счет платы за технологическое присоединение</v>
      </c>
      <c r="AE319" s="1178">
        <v>0</v>
      </c>
      <c r="AF319" s="2534"/>
      <c r="AG319" s="2535"/>
      <c r="AH319" s="2535"/>
      <c r="AI319" s="2534"/>
      <c r="AJ319" s="2535"/>
      <c r="AK319" s="2535"/>
      <c r="AL319" s="1994"/>
      <c r="AM319" s="1831"/>
      <c r="AN319" s="1831"/>
      <c r="AO319" s="1831"/>
      <c r="AP319" s="1831"/>
      <c r="AQ319" s="1831"/>
      <c r="AR319" s="1831"/>
      <c r="AS319" s="1831"/>
      <c r="AT319" s="1831"/>
      <c r="AU319" s="1831"/>
      <c r="AV319" s="1831"/>
      <c r="AW319" s="1831"/>
      <c r="AX319" s="1831"/>
      <c r="AY319" s="1831"/>
      <c r="AZ319" s="1831"/>
      <c r="BA319" s="1831"/>
      <c r="BB319" s="1831"/>
      <c r="BC319" s="1831"/>
      <c r="BD319" s="1831"/>
      <c r="BE319" s="1831"/>
      <c r="BF319" s="1831"/>
      <c r="BG319" s="1644"/>
    </row>
    <row customHeight="1" ht="11.25">
      <c r="A320" s="1175" t="s">
        <v>1036</v>
      </c>
      <c r="B320" s="1175"/>
      <c r="C320" s="1175"/>
      <c r="D320" s="1169"/>
      <c r="E320" s="1179"/>
      <c r="F320" s="1838"/>
      <c r="G320" s="1838"/>
      <c r="H320" s="1838"/>
      <c r="I320" s="1838"/>
      <c r="J320" s="1838"/>
      <c r="K320" s="1838"/>
      <c r="L320" s="1838"/>
      <c r="M320" s="1838"/>
      <c r="N320" s="1838"/>
      <c r="O320" s="1838"/>
      <c r="P320" s="1838"/>
      <c r="Q320" s="1838"/>
      <c r="R320" s="1838"/>
      <c r="S320" s="1838"/>
      <c r="T320" s="1838"/>
      <c r="U320" s="1838"/>
      <c r="V320" s="1838"/>
      <c r="W320" s="1838"/>
      <c r="X320" s="1838"/>
      <c r="Y320" s="1838"/>
      <c r="Z320" s="692" t="s">
        <v>104</v>
      </c>
      <c r="AA320" s="1822" t="s">
        <v>103</v>
      </c>
      <c r="AB320" s="1188" t="s">
        <v>1091</v>
      </c>
      <c r="AC320" s="1178">
        <v>553.97</v>
      </c>
      <c r="AD320" s="1188" t="str">
        <f>AB320</f>
        <v>  Прочие собственные средства</v>
      </c>
      <c r="AE320" s="1178">
        <v>0</v>
      </c>
      <c r="AF320" s="2095"/>
      <c r="AG320" s="1767"/>
      <c r="AH320" s="1767"/>
      <c r="AI320" s="2095"/>
      <c r="AJ320" s="1767"/>
      <c r="AK320" s="1993"/>
      <c r="AL320" s="1994"/>
      <c r="AM320" s="1831"/>
      <c r="AN320" s="1831"/>
      <c r="AO320" s="1831"/>
      <c r="AP320" s="1831"/>
      <c r="AQ320" s="1831"/>
      <c r="AR320" s="1831"/>
      <c r="AS320" s="1831"/>
      <c r="AT320" s="1831"/>
      <c r="AU320" s="1831"/>
      <c r="AV320" s="1831"/>
      <c r="AW320" s="1831"/>
      <c r="AX320" s="1831"/>
      <c r="AY320" s="1831"/>
      <c r="AZ320" s="1831"/>
      <c r="BA320" s="1831"/>
      <c r="BB320" s="1831"/>
      <c r="BC320" s="1831"/>
      <c r="BD320" s="1831"/>
      <c r="BE320" s="1831"/>
      <c r="BF320" s="1831"/>
      <c r="BG320" s="1644"/>
    </row>
    <row customHeight="1" ht="11.25">
      <c r="A321" s="1175" t="s">
        <v>1036</v>
      </c>
      <c r="B321" s="1175"/>
      <c r="C321" s="1175"/>
      <c r="D321" s="1169"/>
      <c r="E321" s="1179"/>
      <c r="F321" s="1837"/>
      <c r="G321" s="1838"/>
      <c r="H321" s="2543" t="s">
        <v>1211</v>
      </c>
      <c r="I321" s="2544"/>
      <c r="J321" s="2513"/>
      <c r="K321" s="2545"/>
      <c r="L321" s="2135"/>
      <c r="M321" s="2136"/>
      <c r="N321" s="2536"/>
      <c r="O321" s="2537"/>
      <c r="P321" s="2540"/>
      <c r="Q321" s="2725"/>
      <c r="R321" s="2541"/>
      <c r="S321" s="2542"/>
      <c r="T321" s="2541"/>
      <c r="U321" s="2541"/>
      <c r="V321" s="2541"/>
      <c r="W321" s="2541"/>
      <c r="X321" s="2541"/>
      <c r="Y321" s="2541"/>
      <c r="Z321" s="1184"/>
      <c r="AA321" s="1185"/>
      <c r="AB321" s="1250" t="s">
        <v>1082</v>
      </c>
      <c r="AC321" s="1189"/>
      <c r="AD321" s="1189"/>
      <c r="AE321" s="1191"/>
      <c r="AF321" s="2534"/>
      <c r="AG321" s="2535"/>
      <c r="AH321" s="2535"/>
      <c r="AI321" s="2534"/>
      <c r="AJ321" s="2535"/>
      <c r="AK321" s="2535"/>
      <c r="AL321" s="1994"/>
      <c r="AM321" s="1831"/>
      <c r="AN321" s="1831"/>
      <c r="AO321" s="1831"/>
      <c r="AP321" s="1831"/>
      <c r="AQ321" s="1831"/>
      <c r="AR321" s="1831"/>
      <c r="AS321" s="1831"/>
      <c r="AT321" s="1831"/>
      <c r="AU321" s="1831"/>
      <c r="AV321" s="1831"/>
      <c r="AW321" s="1831"/>
      <c r="AX321" s="1831"/>
      <c r="AY321" s="1831"/>
      <c r="AZ321" s="1831"/>
      <c r="BA321" s="1831"/>
      <c r="BB321" s="1831"/>
      <c r="BC321" s="1831"/>
      <c r="BD321" s="1831"/>
      <c r="BE321" s="1831"/>
      <c r="BF321" s="1831"/>
      <c r="BG321" s="1644"/>
    </row>
    <row customHeight="1" ht="11.25">
      <c r="A322" s="1175" t="s">
        <v>1036</v>
      </c>
      <c r="B322" s="1175"/>
      <c r="C322" s="1175"/>
      <c r="D322" s="1169"/>
      <c r="E322" s="1179"/>
      <c r="F322" s="1837"/>
      <c r="G322" s="1838"/>
      <c r="H322" s="2543" t="s">
        <v>1211</v>
      </c>
      <c r="I322" s="2544"/>
      <c r="J322" s="2513"/>
      <c r="K322" s="2545"/>
      <c r="L322" s="2135"/>
      <c r="M322" s="2136"/>
      <c r="N322" s="1184"/>
      <c r="O322" s="1185"/>
      <c r="P322" s="1177" t="s">
        <v>1083</v>
      </c>
      <c r="Q322" s="1185"/>
      <c r="R322" s="1185"/>
      <c r="S322" s="1185"/>
      <c r="T322" s="1185"/>
      <c r="U322" s="1185"/>
      <c r="V322" s="1185"/>
      <c r="W322" s="1185"/>
      <c r="X322" s="1185"/>
      <c r="Y322" s="1185"/>
      <c r="Z322" s="1185"/>
      <c r="AA322" s="1185"/>
      <c r="AB322" s="1185"/>
      <c r="AC322" s="1185"/>
      <c r="AD322" s="1185"/>
      <c r="AE322" s="1192"/>
      <c r="AF322" s="2534"/>
      <c r="AG322" s="2535"/>
      <c r="AH322" s="2535"/>
      <c r="AI322" s="2534"/>
      <c r="AJ322" s="2535"/>
      <c r="AK322" s="2535"/>
      <c r="AL322" s="1994"/>
      <c r="AM322" s="1831"/>
      <c r="AN322" s="1831"/>
      <c r="AO322" s="1831"/>
      <c r="AP322" s="1831"/>
      <c r="AQ322" s="1831"/>
      <c r="AR322" s="1831"/>
      <c r="AS322" s="1831"/>
      <c r="AT322" s="1831"/>
      <c r="AU322" s="1831"/>
      <c r="AV322" s="1831"/>
      <c r="AW322" s="1831"/>
      <c r="AX322" s="1831"/>
      <c r="AY322" s="1831"/>
      <c r="AZ322" s="1831"/>
      <c r="BA322" s="1831"/>
      <c r="BB322" s="1831"/>
      <c r="BC322" s="1831"/>
      <c r="BD322" s="1831"/>
      <c r="BE322" s="1831"/>
      <c r="BF322" s="1831"/>
      <c r="BG322" s="1644"/>
    </row>
    <row customHeight="1" ht="11.25">
      <c r="A323" s="1175" t="s">
        <v>1036</v>
      </c>
      <c r="B323" s="1175" t="s">
        <v>1165</v>
      </c>
      <c r="C323" s="1175"/>
      <c r="D323" s="1169"/>
      <c r="E323" s="1179"/>
      <c r="F323" s="1837"/>
      <c r="G323" s="692" t="s">
        <v>104</v>
      </c>
      <c r="H323" s="2543" t="s">
        <v>1216</v>
      </c>
      <c r="I323" s="2544" t="s">
        <v>1167</v>
      </c>
      <c r="J323" s="2513" t="s">
        <v>1173</v>
      </c>
      <c r="K323" s="2545" t="s">
        <v>1217</v>
      </c>
      <c r="L323" s="2135" t="s">
        <v>19</v>
      </c>
      <c r="M323" s="2136"/>
      <c r="N323" s="1992"/>
      <c r="O323" s="1186" t="s">
        <v>391</v>
      </c>
      <c r="P323" s="1187"/>
      <c r="Q323" s="1187"/>
      <c r="R323" s="1187"/>
      <c r="S323" s="1187"/>
      <c r="T323" s="1187"/>
      <c r="U323" s="1187"/>
      <c r="V323" s="1187"/>
      <c r="W323" s="1187"/>
      <c r="X323" s="1187"/>
      <c r="Y323" s="1187"/>
      <c r="Z323" s="1187"/>
      <c r="AA323" s="1187"/>
      <c r="AB323" s="1187"/>
      <c r="AC323" s="1187"/>
      <c r="AD323" s="1187"/>
      <c r="AE323" s="1187"/>
      <c r="AF323" s="2534">
        <v>1</v>
      </c>
      <c r="AG323" s="2535" t="s">
        <v>1094</v>
      </c>
      <c r="AH323" s="2535" t="s">
        <v>1085</v>
      </c>
      <c r="AI323" s="2905"/>
      <c r="AJ323" s="2535" t="s">
        <v>1089</v>
      </c>
      <c r="AK323" s="2535" t="s">
        <v>1089</v>
      </c>
      <c r="AL323" s="1994"/>
      <c r="AM323" s="1831"/>
      <c r="AN323" s="1831"/>
      <c r="AO323" s="1831"/>
      <c r="AP323" s="1831"/>
      <c r="AQ323" s="1831"/>
      <c r="AR323" s="1831"/>
      <c r="AS323" s="1831"/>
      <c r="AT323" s="1831"/>
      <c r="AU323" s="1831"/>
      <c r="AV323" s="1831"/>
      <c r="AW323" s="1831"/>
      <c r="AX323" s="1831"/>
      <c r="AY323" s="1831"/>
      <c r="AZ323" s="1831"/>
      <c r="BA323" s="1831"/>
      <c r="BB323" s="1831"/>
      <c r="BC323" s="1831"/>
      <c r="BD323" s="1831"/>
      <c r="BE323" s="1831"/>
      <c r="BF323" s="1831"/>
      <c r="BG323" s="1644"/>
    </row>
    <row customHeight="1" ht="11.25">
      <c r="A324" s="1175" t="s">
        <v>1036</v>
      </c>
      <c r="B324" s="1175"/>
      <c r="C324" s="1175"/>
      <c r="D324" s="1169"/>
      <c r="E324" s="1179"/>
      <c r="F324" s="1837"/>
      <c r="G324" s="1838"/>
      <c r="H324" s="2543" t="s">
        <v>1213</v>
      </c>
      <c r="I324" s="2544"/>
      <c r="J324" s="2513"/>
      <c r="K324" s="2545"/>
      <c r="L324" s="2135"/>
      <c r="M324" s="2136"/>
      <c r="N324" s="2536"/>
      <c r="O324" s="2537">
        <v>1</v>
      </c>
      <c r="P324" s="2538" t="s">
        <v>63</v>
      </c>
      <c r="Q324" s="2725" t="s">
        <v>1106</v>
      </c>
      <c r="R324" s="2726" t="s">
        <v>1076</v>
      </c>
      <c r="S324" s="2726" t="s">
        <v>100</v>
      </c>
      <c r="T324" s="2726" t="s">
        <v>100</v>
      </c>
      <c r="U324" s="2726" t="s">
        <v>101</v>
      </c>
      <c r="V324" s="2726" t="s">
        <v>1107</v>
      </c>
      <c r="W324" s="2726" t="s">
        <v>1108</v>
      </c>
      <c r="X324" s="2726" t="s">
        <v>1109</v>
      </c>
      <c r="Y324" s="2726" t="s">
        <v>1110</v>
      </c>
      <c r="Z324" s="1184"/>
      <c r="AA324" s="1185"/>
      <c r="AB324" s="1185"/>
      <c r="AC324" s="1189"/>
      <c r="AD324" s="1189"/>
      <c r="AE324" s="1190"/>
      <c r="AF324" s="2534"/>
      <c r="AG324" s="2535"/>
      <c r="AH324" s="2535"/>
      <c r="AI324" s="2905"/>
      <c r="AJ324" s="2535"/>
      <c r="AK324" s="2535"/>
      <c r="AL324" s="1994"/>
      <c r="AM324" s="1831"/>
      <c r="AN324" s="1831"/>
      <c r="AO324" s="1831"/>
      <c r="AP324" s="1831"/>
      <c r="AQ324" s="1831"/>
      <c r="AR324" s="1831"/>
      <c r="AS324" s="1831"/>
      <c r="AT324" s="1831"/>
      <c r="AU324" s="1831"/>
      <c r="AV324" s="1831"/>
      <c r="AW324" s="1831"/>
      <c r="AX324" s="1831"/>
      <c r="AY324" s="1831"/>
      <c r="AZ324" s="1831"/>
      <c r="BA324" s="1831"/>
      <c r="BB324" s="1831"/>
      <c r="BC324" s="1831"/>
      <c r="BD324" s="1831"/>
      <c r="BE324" s="1831"/>
      <c r="BF324" s="1831"/>
      <c r="BG324" s="1644"/>
    </row>
    <row customHeight="1" ht="11.25">
      <c r="A325" s="1175" t="s">
        <v>1036</v>
      </c>
      <c r="B325" s="1175"/>
      <c r="C325" s="1175"/>
      <c r="D325" s="1169"/>
      <c r="E325" s="1179"/>
      <c r="F325" s="1837"/>
      <c r="G325" s="1838"/>
      <c r="H325" s="2543" t="s">
        <v>1213</v>
      </c>
      <c r="I325" s="2544"/>
      <c r="J325" s="2513"/>
      <c r="K325" s="2545"/>
      <c r="L325" s="2135"/>
      <c r="M325" s="2136"/>
      <c r="N325" s="2536"/>
      <c r="O325" s="2537"/>
      <c r="P325" s="2539"/>
      <c r="Q325" s="2725"/>
      <c r="R325" s="2541"/>
      <c r="S325" s="2542"/>
      <c r="T325" s="2541"/>
      <c r="U325" s="2541"/>
      <c r="V325" s="2541"/>
      <c r="W325" s="2541"/>
      <c r="X325" s="2541"/>
      <c r="Y325" s="2541"/>
      <c r="Z325" s="1836"/>
      <c r="AA325" s="1802">
        <v>1</v>
      </c>
      <c r="AB325" s="1188" t="s">
        <v>1164</v>
      </c>
      <c r="AC325" s="1178">
        <v>6517.55</v>
      </c>
      <c r="AD325" s="1188" t="str">
        <f>AB325</f>
        <v>  За счет платы за технологическое присоединение</v>
      </c>
      <c r="AE325" s="1178">
        <v>45</v>
      </c>
      <c r="AF325" s="2534"/>
      <c r="AG325" s="2535"/>
      <c r="AH325" s="2535"/>
      <c r="AI325" s="2905"/>
      <c r="AJ325" s="2535"/>
      <c r="AK325" s="2535"/>
      <c r="AL325" s="1994"/>
      <c r="AM325" s="1831"/>
      <c r="AN325" s="1831"/>
      <c r="AO325" s="1831"/>
      <c r="AP325" s="1831"/>
      <c r="AQ325" s="1831"/>
      <c r="AR325" s="1831"/>
      <c r="AS325" s="1831"/>
      <c r="AT325" s="1831"/>
      <c r="AU325" s="1831"/>
      <c r="AV325" s="1831"/>
      <c r="AW325" s="1831"/>
      <c r="AX325" s="1831"/>
      <c r="AY325" s="1831"/>
      <c r="AZ325" s="1831"/>
      <c r="BA325" s="1831"/>
      <c r="BB325" s="1831"/>
      <c r="BC325" s="1831"/>
      <c r="BD325" s="1831"/>
      <c r="BE325" s="1831"/>
      <c r="BF325" s="1831"/>
      <c r="BG325" s="1644"/>
    </row>
    <row customHeight="1" ht="11.25">
      <c r="A326" s="1175" t="s">
        <v>1036</v>
      </c>
      <c r="B326" s="1175"/>
      <c r="C326" s="1175"/>
      <c r="D326" s="1169"/>
      <c r="E326" s="1179"/>
      <c r="F326" s="1837"/>
      <c r="G326" s="1838"/>
      <c r="H326" s="2543" t="s">
        <v>1213</v>
      </c>
      <c r="I326" s="2544"/>
      <c r="J326" s="2513"/>
      <c r="K326" s="2545"/>
      <c r="L326" s="2135"/>
      <c r="M326" s="2136"/>
      <c r="N326" s="2536"/>
      <c r="O326" s="2537"/>
      <c r="P326" s="2540"/>
      <c r="Q326" s="2725"/>
      <c r="R326" s="2541"/>
      <c r="S326" s="2542"/>
      <c r="T326" s="2541"/>
      <c r="U326" s="2541"/>
      <c r="V326" s="2541"/>
      <c r="W326" s="2541"/>
      <c r="X326" s="2541"/>
      <c r="Y326" s="2541"/>
      <c r="Z326" s="1184"/>
      <c r="AA326" s="1185"/>
      <c r="AB326" s="1250" t="s">
        <v>1082</v>
      </c>
      <c r="AC326" s="1189"/>
      <c r="AD326" s="1189"/>
      <c r="AE326" s="1191"/>
      <c r="AF326" s="2534"/>
      <c r="AG326" s="2535"/>
      <c r="AH326" s="2535"/>
      <c r="AI326" s="2905"/>
      <c r="AJ326" s="2535"/>
      <c r="AK326" s="2535"/>
      <c r="AL326" s="1994"/>
      <c r="AM326" s="1831"/>
      <c r="AN326" s="1831"/>
      <c r="AO326" s="1831"/>
      <c r="AP326" s="1831"/>
      <c r="AQ326" s="1831"/>
      <c r="AR326" s="1831"/>
      <c r="AS326" s="1831"/>
      <c r="AT326" s="1831"/>
      <c r="AU326" s="1831"/>
      <c r="AV326" s="1831"/>
      <c r="AW326" s="1831"/>
      <c r="AX326" s="1831"/>
      <c r="AY326" s="1831"/>
      <c r="AZ326" s="1831"/>
      <c r="BA326" s="1831"/>
      <c r="BB326" s="1831"/>
      <c r="BC326" s="1831"/>
      <c r="BD326" s="1831"/>
      <c r="BE326" s="1831"/>
      <c r="BF326" s="1831"/>
      <c r="BG326" s="1644"/>
    </row>
    <row customHeight="1" ht="11.25">
      <c r="A327" s="1175" t="s">
        <v>1036</v>
      </c>
      <c r="B327" s="1175"/>
      <c r="C327" s="1175"/>
      <c r="D327" s="1169"/>
      <c r="E327" s="1179"/>
      <c r="F327" s="1837"/>
      <c r="G327" s="1838"/>
      <c r="H327" s="2543" t="s">
        <v>1213</v>
      </c>
      <c r="I327" s="2544"/>
      <c r="J327" s="2513"/>
      <c r="K327" s="2545"/>
      <c r="L327" s="2135"/>
      <c r="M327" s="2136"/>
      <c r="N327" s="1184"/>
      <c r="O327" s="1185"/>
      <c r="P327" s="1177" t="s">
        <v>1083</v>
      </c>
      <c r="Q327" s="1185"/>
      <c r="R327" s="1185"/>
      <c r="S327" s="1185"/>
      <c r="T327" s="1185"/>
      <c r="U327" s="1185"/>
      <c r="V327" s="1185"/>
      <c r="W327" s="1185"/>
      <c r="X327" s="1185"/>
      <c r="Y327" s="1185"/>
      <c r="Z327" s="1185"/>
      <c r="AA327" s="1185"/>
      <c r="AB327" s="1185"/>
      <c r="AC327" s="1185"/>
      <c r="AD327" s="1185"/>
      <c r="AE327" s="1192"/>
      <c r="AF327" s="2534"/>
      <c r="AG327" s="2535"/>
      <c r="AH327" s="2535"/>
      <c r="AI327" s="2905"/>
      <c r="AJ327" s="2535"/>
      <c r="AK327" s="2535"/>
      <c r="AL327" s="1994"/>
      <c r="AM327" s="1831"/>
      <c r="AN327" s="1831"/>
      <c r="AO327" s="1831"/>
      <c r="AP327" s="1831"/>
      <c r="AQ327" s="1831"/>
      <c r="AR327" s="1831"/>
      <c r="AS327" s="1831"/>
      <c r="AT327" s="1831"/>
      <c r="AU327" s="1831"/>
      <c r="AV327" s="1831"/>
      <c r="AW327" s="1831"/>
      <c r="AX327" s="1831"/>
      <c r="AY327" s="1831"/>
      <c r="AZ327" s="1831"/>
      <c r="BA327" s="1831"/>
      <c r="BB327" s="1831"/>
      <c r="BC327" s="1831"/>
      <c r="BD327" s="1831"/>
      <c r="BE327" s="1831"/>
      <c r="BF327" s="1831"/>
      <c r="BG327" s="1644"/>
    </row>
    <row customHeight="1" ht="11.25">
      <c r="A328" s="1175" t="s">
        <v>1036</v>
      </c>
      <c r="B328" s="1175" t="s">
        <v>1165</v>
      </c>
      <c r="C328" s="1175"/>
      <c r="D328" s="1169"/>
      <c r="E328" s="1179"/>
      <c r="F328" s="1837"/>
      <c r="G328" s="692" t="s">
        <v>104</v>
      </c>
      <c r="H328" s="2543" t="s">
        <v>1218</v>
      </c>
      <c r="I328" s="2544" t="s">
        <v>1167</v>
      </c>
      <c r="J328" s="2513" t="s">
        <v>1173</v>
      </c>
      <c r="K328" s="2545" t="s">
        <v>1219</v>
      </c>
      <c r="L328" s="2135" t="s">
        <v>19</v>
      </c>
      <c r="M328" s="2136"/>
      <c r="N328" s="1992"/>
      <c r="O328" s="1186" t="s">
        <v>391</v>
      </c>
      <c r="P328" s="1187"/>
      <c r="Q328" s="1187"/>
      <c r="R328" s="1187"/>
      <c r="S328" s="1187"/>
      <c r="T328" s="1187"/>
      <c r="U328" s="1187"/>
      <c r="V328" s="1187"/>
      <c r="W328" s="1187"/>
      <c r="X328" s="1187"/>
      <c r="Y328" s="1187"/>
      <c r="Z328" s="1187"/>
      <c r="AA328" s="1187"/>
      <c r="AB328" s="1187"/>
      <c r="AC328" s="1187"/>
      <c r="AD328" s="1187"/>
      <c r="AE328" s="1187"/>
      <c r="AF328" s="2534">
        <v>1</v>
      </c>
      <c r="AG328" s="2535" t="s">
        <v>1094</v>
      </c>
      <c r="AH328" s="2535" t="s">
        <v>1085</v>
      </c>
      <c r="AI328" s="2905"/>
      <c r="AJ328" s="2535" t="s">
        <v>1089</v>
      </c>
      <c r="AK328" s="2535" t="s">
        <v>1089</v>
      </c>
      <c r="AL328" s="1994"/>
      <c r="AM328" s="1831"/>
      <c r="AN328" s="1831"/>
      <c r="AO328" s="1831"/>
      <c r="AP328" s="1831"/>
      <c r="AQ328" s="1831"/>
      <c r="AR328" s="1831"/>
      <c r="AS328" s="1831"/>
      <c r="AT328" s="1831"/>
      <c r="AU328" s="1831"/>
      <c r="AV328" s="1831"/>
      <c r="AW328" s="1831"/>
      <c r="AX328" s="1831"/>
      <c r="AY328" s="1831"/>
      <c r="AZ328" s="1831"/>
      <c r="BA328" s="1831"/>
      <c r="BB328" s="1831"/>
      <c r="BC328" s="1831"/>
      <c r="BD328" s="1831"/>
      <c r="BE328" s="1831"/>
      <c r="BF328" s="1831"/>
      <c r="BG328" s="1644"/>
    </row>
    <row customHeight="1" ht="11.25">
      <c r="A329" s="1175" t="s">
        <v>1036</v>
      </c>
      <c r="B329" s="1175"/>
      <c r="C329" s="1175"/>
      <c r="D329" s="1169"/>
      <c r="E329" s="1179"/>
      <c r="F329" s="1837"/>
      <c r="G329" s="1838"/>
      <c r="H329" s="2543" t="s">
        <v>1216</v>
      </c>
      <c r="I329" s="2544"/>
      <c r="J329" s="2513"/>
      <c r="K329" s="2545"/>
      <c r="L329" s="2135"/>
      <c r="M329" s="2136"/>
      <c r="N329" s="2536"/>
      <c r="O329" s="2537">
        <v>1</v>
      </c>
      <c r="P329" s="2538" t="s">
        <v>63</v>
      </c>
      <c r="Q329" s="2725" t="s">
        <v>1075</v>
      </c>
      <c r="R329" s="2726" t="s">
        <v>1076</v>
      </c>
      <c r="S329" s="2726" t="s">
        <v>106</v>
      </c>
      <c r="T329" s="2726" t="s">
        <v>106</v>
      </c>
      <c r="U329" s="2726" t="s">
        <v>107</v>
      </c>
      <c r="V329" s="2726" t="s">
        <v>1077</v>
      </c>
      <c r="W329" s="2726" t="s">
        <v>1078</v>
      </c>
      <c r="X329" s="2726" t="s">
        <v>1079</v>
      </c>
      <c r="Y329" s="2726" t="s">
        <v>1080</v>
      </c>
      <c r="Z329" s="1184"/>
      <c r="AA329" s="1185"/>
      <c r="AB329" s="1185"/>
      <c r="AC329" s="1189"/>
      <c r="AD329" s="1189"/>
      <c r="AE329" s="1190"/>
      <c r="AF329" s="2534"/>
      <c r="AG329" s="2535"/>
      <c r="AH329" s="2535"/>
      <c r="AI329" s="2905"/>
      <c r="AJ329" s="2535"/>
      <c r="AK329" s="2535"/>
      <c r="AL329" s="1994"/>
      <c r="AM329" s="1831"/>
      <c r="AN329" s="1831"/>
      <c r="AO329" s="1831"/>
      <c r="AP329" s="1831"/>
      <c r="AQ329" s="1831"/>
      <c r="AR329" s="1831"/>
      <c r="AS329" s="1831"/>
      <c r="AT329" s="1831"/>
      <c r="AU329" s="1831"/>
      <c r="AV329" s="1831"/>
      <c r="AW329" s="1831"/>
      <c r="AX329" s="1831"/>
      <c r="AY329" s="1831"/>
      <c r="AZ329" s="1831"/>
      <c r="BA329" s="1831"/>
      <c r="BB329" s="1831"/>
      <c r="BC329" s="1831"/>
      <c r="BD329" s="1831"/>
      <c r="BE329" s="1831"/>
      <c r="BF329" s="1831"/>
      <c r="BG329" s="1644"/>
    </row>
    <row customHeight="1" ht="11.25">
      <c r="A330" s="1175" t="s">
        <v>1036</v>
      </c>
      <c r="B330" s="1175"/>
      <c r="C330" s="1175"/>
      <c r="D330" s="1169"/>
      <c r="E330" s="1179"/>
      <c r="F330" s="1837"/>
      <c r="G330" s="1838"/>
      <c r="H330" s="2543" t="s">
        <v>1216</v>
      </c>
      <c r="I330" s="2544"/>
      <c r="J330" s="2513"/>
      <c r="K330" s="2545"/>
      <c r="L330" s="2135"/>
      <c r="M330" s="2136"/>
      <c r="N330" s="2536"/>
      <c r="O330" s="2537"/>
      <c r="P330" s="2539"/>
      <c r="Q330" s="2725"/>
      <c r="R330" s="2541"/>
      <c r="S330" s="2542"/>
      <c r="T330" s="2541"/>
      <c r="U330" s="2541"/>
      <c r="V330" s="2541"/>
      <c r="W330" s="2541"/>
      <c r="X330" s="2541"/>
      <c r="Y330" s="2541"/>
      <c r="Z330" s="1836"/>
      <c r="AA330" s="1802">
        <v>1</v>
      </c>
      <c r="AB330" s="1188" t="s">
        <v>1164</v>
      </c>
      <c r="AC330" s="1178">
        <v>7423.13</v>
      </c>
      <c r="AD330" s="1188" t="str">
        <f>AB330</f>
        <v>  За счет платы за технологическое присоединение</v>
      </c>
      <c r="AE330" s="1178">
        <v>224.01</v>
      </c>
      <c r="AF330" s="2534"/>
      <c r="AG330" s="2535"/>
      <c r="AH330" s="2535"/>
      <c r="AI330" s="2905"/>
      <c r="AJ330" s="2535"/>
      <c r="AK330" s="2535"/>
      <c r="AL330" s="1994"/>
      <c r="AM330" s="1831"/>
      <c r="AN330" s="1831"/>
      <c r="AO330" s="1831"/>
      <c r="AP330" s="1831"/>
      <c r="AQ330" s="1831"/>
      <c r="AR330" s="1831"/>
      <c r="AS330" s="1831"/>
      <c r="AT330" s="1831"/>
      <c r="AU330" s="1831"/>
      <c r="AV330" s="1831"/>
      <c r="AW330" s="1831"/>
      <c r="AX330" s="1831"/>
      <c r="AY330" s="1831"/>
      <c r="AZ330" s="1831"/>
      <c r="BA330" s="1831"/>
      <c r="BB330" s="1831"/>
      <c r="BC330" s="1831"/>
      <c r="BD330" s="1831"/>
      <c r="BE330" s="1831"/>
      <c r="BF330" s="1831"/>
      <c r="BG330" s="1644"/>
    </row>
    <row customHeight="1" ht="11.25">
      <c r="A331" s="1175" t="s">
        <v>1036</v>
      </c>
      <c r="B331" s="1175"/>
      <c r="C331" s="1175"/>
      <c r="D331" s="1169"/>
      <c r="E331" s="1179"/>
      <c r="F331" s="1837"/>
      <c r="G331" s="1838"/>
      <c r="H331" s="2543" t="s">
        <v>1216</v>
      </c>
      <c r="I331" s="2544"/>
      <c r="J331" s="2513"/>
      <c r="K331" s="2545"/>
      <c r="L331" s="2135"/>
      <c r="M331" s="2136"/>
      <c r="N331" s="2536"/>
      <c r="O331" s="2537"/>
      <c r="P331" s="2540"/>
      <c r="Q331" s="2725"/>
      <c r="R331" s="2541"/>
      <c r="S331" s="2542"/>
      <c r="T331" s="2541"/>
      <c r="U331" s="2541"/>
      <c r="V331" s="2541"/>
      <c r="W331" s="2541"/>
      <c r="X331" s="2541"/>
      <c r="Y331" s="2541"/>
      <c r="Z331" s="1184"/>
      <c r="AA331" s="1185"/>
      <c r="AB331" s="1250" t="s">
        <v>1082</v>
      </c>
      <c r="AC331" s="1189"/>
      <c r="AD331" s="1189"/>
      <c r="AE331" s="1191"/>
      <c r="AF331" s="2534"/>
      <c r="AG331" s="2535"/>
      <c r="AH331" s="2535"/>
      <c r="AI331" s="2905"/>
      <c r="AJ331" s="2535"/>
      <c r="AK331" s="2535"/>
      <c r="AL331" s="1994"/>
      <c r="AM331" s="1831"/>
      <c r="AN331" s="1831"/>
      <c r="AO331" s="1831"/>
      <c r="AP331" s="1831"/>
      <c r="AQ331" s="1831"/>
      <c r="AR331" s="1831"/>
      <c r="AS331" s="1831"/>
      <c r="AT331" s="1831"/>
      <c r="AU331" s="1831"/>
      <c r="AV331" s="1831"/>
      <c r="AW331" s="1831"/>
      <c r="AX331" s="1831"/>
      <c r="AY331" s="1831"/>
      <c r="AZ331" s="1831"/>
      <c r="BA331" s="1831"/>
      <c r="BB331" s="1831"/>
      <c r="BC331" s="1831"/>
      <c r="BD331" s="1831"/>
      <c r="BE331" s="1831"/>
      <c r="BF331" s="1831"/>
      <c r="BG331" s="1644"/>
    </row>
    <row customHeight="1" ht="11.25">
      <c r="A332" s="1175" t="s">
        <v>1036</v>
      </c>
      <c r="B332" s="1175"/>
      <c r="C332" s="1175"/>
      <c r="D332" s="1169"/>
      <c r="E332" s="1179"/>
      <c r="F332" s="1837"/>
      <c r="G332" s="1838"/>
      <c r="H332" s="2543" t="s">
        <v>1216</v>
      </c>
      <c r="I332" s="2544"/>
      <c r="J332" s="2513"/>
      <c r="K332" s="2545"/>
      <c r="L332" s="2135"/>
      <c r="M332" s="2136"/>
      <c r="N332" s="1184"/>
      <c r="O332" s="1185"/>
      <c r="P332" s="1177" t="s">
        <v>1083</v>
      </c>
      <c r="Q332" s="1185"/>
      <c r="R332" s="1185"/>
      <c r="S332" s="1185"/>
      <c r="T332" s="1185"/>
      <c r="U332" s="1185"/>
      <c r="V332" s="1185"/>
      <c r="W332" s="1185"/>
      <c r="X332" s="1185"/>
      <c r="Y332" s="1185"/>
      <c r="Z332" s="1185"/>
      <c r="AA332" s="1185"/>
      <c r="AB332" s="1185"/>
      <c r="AC332" s="1185"/>
      <c r="AD332" s="1185"/>
      <c r="AE332" s="1192"/>
      <c r="AF332" s="2534"/>
      <c r="AG332" s="2535"/>
      <c r="AH332" s="2535"/>
      <c r="AI332" s="2905"/>
      <c r="AJ332" s="2535"/>
      <c r="AK332" s="2535"/>
      <c r="AL332" s="1994"/>
      <c r="AM332" s="1831"/>
      <c r="AN332" s="1831"/>
      <c r="AO332" s="1831"/>
      <c r="AP332" s="1831"/>
      <c r="AQ332" s="1831"/>
      <c r="AR332" s="1831"/>
      <c r="AS332" s="1831"/>
      <c r="AT332" s="1831"/>
      <c r="AU332" s="1831"/>
      <c r="AV332" s="1831"/>
      <c r="AW332" s="1831"/>
      <c r="AX332" s="1831"/>
      <c r="AY332" s="1831"/>
      <c r="AZ332" s="1831"/>
      <c r="BA332" s="1831"/>
      <c r="BB332" s="1831"/>
      <c r="BC332" s="1831"/>
      <c r="BD332" s="1831"/>
      <c r="BE332" s="1831"/>
      <c r="BF332" s="1831"/>
      <c r="BG332" s="1644"/>
    </row>
    <row customHeight="1" ht="11.25">
      <c r="A333" s="1175" t="s">
        <v>1036</v>
      </c>
      <c r="B333" s="1175" t="s">
        <v>22</v>
      </c>
      <c r="C333" s="1175"/>
      <c r="D333" s="1169"/>
      <c r="E333" s="1179"/>
      <c r="F333" s="1837"/>
      <c r="G333" s="692" t="s">
        <v>104</v>
      </c>
      <c r="H333" s="2543" t="s">
        <v>1220</v>
      </c>
      <c r="I333" s="2544" t="s">
        <v>1137</v>
      </c>
      <c r="J333" s="2727" t="s">
        <v>22</v>
      </c>
      <c r="K333" s="2545" t="s">
        <v>1221</v>
      </c>
      <c r="L333" s="2135" t="s">
        <v>19</v>
      </c>
      <c r="M333" s="2136"/>
      <c r="N333" s="1992"/>
      <c r="O333" s="1186" t="s">
        <v>391</v>
      </c>
      <c r="P333" s="1187"/>
      <c r="Q333" s="1187"/>
      <c r="R333" s="1187"/>
      <c r="S333" s="1187"/>
      <c r="T333" s="1187"/>
      <c r="U333" s="1187"/>
      <c r="V333" s="1187"/>
      <c r="W333" s="1187"/>
      <c r="X333" s="1187"/>
      <c r="Y333" s="1187"/>
      <c r="Z333" s="1187"/>
      <c r="AA333" s="1187"/>
      <c r="AB333" s="1187"/>
      <c r="AC333" s="1187"/>
      <c r="AD333" s="1187"/>
      <c r="AE333" s="1187"/>
      <c r="AF333" s="2534">
        <v>5</v>
      </c>
      <c r="AG333" s="2535" t="s">
        <v>1072</v>
      </c>
      <c r="AH333" s="2535" t="s">
        <v>1163</v>
      </c>
      <c r="AI333" s="2906">
        <v>1</v>
      </c>
      <c r="AJ333" s="2535" t="s">
        <v>1072</v>
      </c>
      <c r="AK333" s="2535" t="s">
        <v>1085</v>
      </c>
      <c r="AL333" s="1994"/>
      <c r="AM333" s="1831"/>
      <c r="AN333" s="1831"/>
      <c r="AO333" s="1831"/>
      <c r="AP333" s="1831"/>
      <c r="AQ333" s="1831"/>
      <c r="AR333" s="1831"/>
      <c r="AS333" s="1831"/>
      <c r="AT333" s="1831"/>
      <c r="AU333" s="1831"/>
      <c r="AV333" s="1831"/>
      <c r="AW333" s="1831"/>
      <c r="AX333" s="1831"/>
      <c r="AY333" s="1831"/>
      <c r="AZ333" s="1831"/>
      <c r="BA333" s="1831"/>
      <c r="BB333" s="1831"/>
      <c r="BC333" s="1831"/>
      <c r="BD333" s="1831"/>
      <c r="BE333" s="1831"/>
      <c r="BF333" s="1831"/>
      <c r="BG333" s="1644"/>
    </row>
    <row customHeight="1" ht="11.25">
      <c r="A334" s="1175" t="s">
        <v>1036</v>
      </c>
      <c r="B334" s="1175"/>
      <c r="C334" s="1175"/>
      <c r="D334" s="1169"/>
      <c r="E334" s="1179"/>
      <c r="F334" s="1837"/>
      <c r="G334" s="1838"/>
      <c r="H334" s="2543" t="s">
        <v>1218</v>
      </c>
      <c r="I334" s="2544"/>
      <c r="J334" s="2727"/>
      <c r="K334" s="2545"/>
      <c r="L334" s="2135"/>
      <c r="M334" s="2136"/>
      <c r="N334" s="2536"/>
      <c r="O334" s="2537">
        <v>1</v>
      </c>
      <c r="P334" s="2538" t="s">
        <v>19</v>
      </c>
      <c r="Q334" s="2541" t="s">
        <v>22</v>
      </c>
      <c r="R334" s="2541" t="s">
        <v>22</v>
      </c>
      <c r="S334" s="2541" t="s">
        <v>22</v>
      </c>
      <c r="T334" s="2541" t="s">
        <v>22</v>
      </c>
      <c r="U334" s="2541" t="s">
        <v>22</v>
      </c>
      <c r="V334" s="2541" t="s">
        <v>22</v>
      </c>
      <c r="W334" s="2541" t="s">
        <v>22</v>
      </c>
      <c r="X334" s="2541" t="s">
        <v>22</v>
      </c>
      <c r="Y334" s="2541"/>
      <c r="Z334" s="1184"/>
      <c r="AA334" s="1185"/>
      <c r="AB334" s="1185"/>
      <c r="AC334" s="1189"/>
      <c r="AD334" s="1189"/>
      <c r="AE334" s="1190"/>
      <c r="AF334" s="2534"/>
      <c r="AG334" s="2535"/>
      <c r="AH334" s="2535"/>
      <c r="AI334" s="2906"/>
      <c r="AJ334" s="2535"/>
      <c r="AK334" s="2535"/>
      <c r="AL334" s="1994"/>
      <c r="AM334" s="1831"/>
      <c r="AN334" s="1831"/>
      <c r="AO334" s="1831"/>
      <c r="AP334" s="1831"/>
      <c r="AQ334" s="1831"/>
      <c r="AR334" s="1831"/>
      <c r="AS334" s="1831"/>
      <c r="AT334" s="1831"/>
      <c r="AU334" s="1831"/>
      <c r="AV334" s="1831"/>
      <c r="AW334" s="1831"/>
      <c r="AX334" s="1831"/>
      <c r="AY334" s="1831"/>
      <c r="AZ334" s="1831"/>
      <c r="BA334" s="1831"/>
      <c r="BB334" s="1831"/>
      <c r="BC334" s="1831"/>
      <c r="BD334" s="1831"/>
      <c r="BE334" s="1831"/>
      <c r="BF334" s="1831"/>
      <c r="BG334" s="1644"/>
    </row>
    <row customHeight="1" ht="11.25">
      <c r="A335" s="1175" t="s">
        <v>1036</v>
      </c>
      <c r="B335" s="1175"/>
      <c r="C335" s="1175"/>
      <c r="D335" s="1169"/>
      <c r="E335" s="1179"/>
      <c r="F335" s="1837"/>
      <c r="G335" s="1838"/>
      <c r="H335" s="2543" t="s">
        <v>1218</v>
      </c>
      <c r="I335" s="2544"/>
      <c r="J335" s="2727"/>
      <c r="K335" s="2545"/>
      <c r="L335" s="2135"/>
      <c r="M335" s="2136"/>
      <c r="N335" s="2536"/>
      <c r="O335" s="2537"/>
      <c r="P335" s="2539"/>
      <c r="Q335" s="2541"/>
      <c r="R335" s="2541"/>
      <c r="S335" s="2542"/>
      <c r="T335" s="2541"/>
      <c r="U335" s="2541"/>
      <c r="V335" s="2541"/>
      <c r="W335" s="2541"/>
      <c r="X335" s="2541"/>
      <c r="Y335" s="2541"/>
      <c r="Z335" s="1836"/>
      <c r="AA335" s="1802">
        <v>1</v>
      </c>
      <c r="AB335" s="1188" t="s">
        <v>1081</v>
      </c>
      <c r="AC335" s="1178">
        <v>44258.03</v>
      </c>
      <c r="AD335" s="1188" t="str">
        <f>AB335</f>
        <v>      Амортизационные отчисления с выделением результатов переоценки основных средств и нематериальных активов</v>
      </c>
      <c r="AE335" s="1178">
        <v>41796.79</v>
      </c>
      <c r="AF335" s="2534"/>
      <c r="AG335" s="2535"/>
      <c r="AH335" s="2535"/>
      <c r="AI335" s="2906"/>
      <c r="AJ335" s="2535"/>
      <c r="AK335" s="2535"/>
      <c r="AL335" s="1994"/>
      <c r="AM335" s="1831"/>
      <c r="AN335" s="1831"/>
      <c r="AO335" s="1831"/>
      <c r="AP335" s="1831"/>
      <c r="AQ335" s="1831"/>
      <c r="AR335" s="1831"/>
      <c r="AS335" s="1831"/>
      <c r="AT335" s="1831"/>
      <c r="AU335" s="1831"/>
      <c r="AV335" s="1831"/>
      <c r="AW335" s="1831"/>
      <c r="AX335" s="1831"/>
      <c r="AY335" s="1831"/>
      <c r="AZ335" s="1831"/>
      <c r="BA335" s="1831"/>
      <c r="BB335" s="1831"/>
      <c r="BC335" s="1831"/>
      <c r="BD335" s="1831"/>
      <c r="BE335" s="1831"/>
      <c r="BF335" s="1831"/>
      <c r="BG335" s="1644"/>
    </row>
    <row customHeight="1" ht="11.25">
      <c r="A336" s="1175" t="s">
        <v>1036</v>
      </c>
      <c r="B336" s="1175"/>
      <c r="C336" s="1175"/>
      <c r="D336" s="1169"/>
      <c r="E336" s="1179"/>
      <c r="F336" s="1838"/>
      <c r="G336" s="1838"/>
      <c r="H336" s="1838"/>
      <c r="I336" s="1838"/>
      <c r="J336" s="1838"/>
      <c r="K336" s="1838"/>
      <c r="L336" s="1838"/>
      <c r="M336" s="1838"/>
      <c r="N336" s="1838"/>
      <c r="O336" s="1838"/>
      <c r="P336" s="1838"/>
      <c r="Q336" s="1838"/>
      <c r="R336" s="1838"/>
      <c r="S336" s="1838"/>
      <c r="T336" s="1838"/>
      <c r="U336" s="1838"/>
      <c r="V336" s="1838"/>
      <c r="W336" s="1838"/>
      <c r="X336" s="1838"/>
      <c r="Y336" s="1838"/>
      <c r="Z336" s="692" t="s">
        <v>104</v>
      </c>
      <c r="AA336" s="1822" t="s">
        <v>103</v>
      </c>
      <c r="AB336" s="1188" t="s">
        <v>1125</v>
      </c>
      <c r="AC336" s="1178">
        <v>49571.28</v>
      </c>
      <c r="AD336" s="1188" t="str">
        <f>AB336</f>
        <v>  Прочие</v>
      </c>
      <c r="AE336" s="1178">
        <v>41094.46</v>
      </c>
      <c r="AF336" s="2095"/>
      <c r="AG336" s="1767"/>
      <c r="AH336" s="1767"/>
      <c r="AI336" s="2908"/>
      <c r="AJ336" s="1767"/>
      <c r="AK336" s="1993"/>
      <c r="AL336" s="1994"/>
      <c r="AM336" s="1831"/>
      <c r="AN336" s="1831"/>
      <c r="AO336" s="1831"/>
      <c r="AP336" s="1831"/>
      <c r="AQ336" s="1831"/>
      <c r="AR336" s="1831"/>
      <c r="AS336" s="1831"/>
      <c r="AT336" s="1831"/>
      <c r="AU336" s="1831"/>
      <c r="AV336" s="1831"/>
      <c r="AW336" s="1831"/>
      <c r="AX336" s="1831"/>
      <c r="AY336" s="1831"/>
      <c r="AZ336" s="1831"/>
      <c r="BA336" s="1831"/>
      <c r="BB336" s="1831"/>
      <c r="BC336" s="1831"/>
      <c r="BD336" s="1831"/>
      <c r="BE336" s="1831"/>
      <c r="BF336" s="1831"/>
      <c r="BG336" s="1644"/>
    </row>
    <row customHeight="1" ht="11.25">
      <c r="A337" s="1175" t="s">
        <v>1036</v>
      </c>
      <c r="B337" s="1175"/>
      <c r="C337" s="1175"/>
      <c r="D337" s="1169"/>
      <c r="E337" s="1179"/>
      <c r="F337" s="1837"/>
      <c r="G337" s="1838"/>
      <c r="H337" s="2543" t="s">
        <v>1218</v>
      </c>
      <c r="I337" s="2544"/>
      <c r="J337" s="2727"/>
      <c r="K337" s="2545"/>
      <c r="L337" s="2135"/>
      <c r="M337" s="2136"/>
      <c r="N337" s="2536"/>
      <c r="O337" s="2537"/>
      <c r="P337" s="2540"/>
      <c r="Q337" s="2541"/>
      <c r="R337" s="2541"/>
      <c r="S337" s="2542"/>
      <c r="T337" s="2541"/>
      <c r="U337" s="2541"/>
      <c r="V337" s="2541"/>
      <c r="W337" s="2541"/>
      <c r="X337" s="2541"/>
      <c r="Y337" s="2541"/>
      <c r="Z337" s="1184"/>
      <c r="AA337" s="1185"/>
      <c r="AB337" s="1250" t="s">
        <v>1082</v>
      </c>
      <c r="AC337" s="1189"/>
      <c r="AD337" s="1189"/>
      <c r="AE337" s="1191"/>
      <c r="AF337" s="2534"/>
      <c r="AG337" s="2535"/>
      <c r="AH337" s="2535"/>
      <c r="AI337" s="2906"/>
      <c r="AJ337" s="2535"/>
      <c r="AK337" s="2535"/>
      <c r="AL337" s="1994"/>
      <c r="AM337" s="1831"/>
      <c r="AN337" s="1831"/>
      <c r="AO337" s="1831"/>
      <c r="AP337" s="1831"/>
      <c r="AQ337" s="1831"/>
      <c r="AR337" s="1831"/>
      <c r="AS337" s="1831"/>
      <c r="AT337" s="1831"/>
      <c r="AU337" s="1831"/>
      <c r="AV337" s="1831"/>
      <c r="AW337" s="1831"/>
      <c r="AX337" s="1831"/>
      <c r="AY337" s="1831"/>
      <c r="AZ337" s="1831"/>
      <c r="BA337" s="1831"/>
      <c r="BB337" s="1831"/>
      <c r="BC337" s="1831"/>
      <c r="BD337" s="1831"/>
      <c r="BE337" s="1831"/>
      <c r="BF337" s="1831"/>
      <c r="BG337" s="1644"/>
    </row>
    <row customHeight="1" ht="11.25">
      <c r="A338" s="1175" t="s">
        <v>1036</v>
      </c>
      <c r="B338" s="1175"/>
      <c r="C338" s="1175"/>
      <c r="D338" s="1169"/>
      <c r="E338" s="1179"/>
      <c r="F338" s="1837"/>
      <c r="G338" s="1838"/>
      <c r="H338" s="2543" t="s">
        <v>1218</v>
      </c>
      <c r="I338" s="2544"/>
      <c r="J338" s="2727"/>
      <c r="K338" s="2545"/>
      <c r="L338" s="2135"/>
      <c r="M338" s="2136"/>
      <c r="N338" s="1184"/>
      <c r="O338" s="1185"/>
      <c r="P338" s="1177" t="s">
        <v>1083</v>
      </c>
      <c r="Q338" s="1185"/>
      <c r="R338" s="1185"/>
      <c r="S338" s="1185"/>
      <c r="T338" s="1185"/>
      <c r="U338" s="1185"/>
      <c r="V338" s="1185"/>
      <c r="W338" s="1185"/>
      <c r="X338" s="1185"/>
      <c r="Y338" s="1185"/>
      <c r="Z338" s="1185"/>
      <c r="AA338" s="1185"/>
      <c r="AB338" s="1185"/>
      <c r="AC338" s="1185"/>
      <c r="AD338" s="1185"/>
      <c r="AE338" s="1192"/>
      <c r="AF338" s="2534"/>
      <c r="AG338" s="2535"/>
      <c r="AH338" s="2535"/>
      <c r="AI338" s="2906"/>
      <c r="AJ338" s="2535"/>
      <c r="AK338" s="2535"/>
      <c r="AL338" s="1994"/>
      <c r="AM338" s="1831"/>
      <c r="AN338" s="1831"/>
      <c r="AO338" s="1831"/>
      <c r="AP338" s="1831"/>
      <c r="AQ338" s="1831"/>
      <c r="AR338" s="1831"/>
      <c r="AS338" s="1831"/>
      <c r="AT338" s="1831"/>
      <c r="AU338" s="1831"/>
      <c r="AV338" s="1831"/>
      <c r="AW338" s="1831"/>
      <c r="AX338" s="1831"/>
      <c r="AY338" s="1831"/>
      <c r="AZ338" s="1831"/>
      <c r="BA338" s="1831"/>
      <c r="BB338" s="1831"/>
      <c r="BC338" s="1831"/>
      <c r="BD338" s="1831"/>
      <c r="BE338" s="1831"/>
      <c r="BF338" s="1831"/>
      <c r="BG338" s="1644"/>
    </row>
    <row customHeight="1" ht="11.25">
      <c r="A339" s="1175" t="s">
        <v>1036</v>
      </c>
      <c r="B339" s="1175" t="s">
        <v>22</v>
      </c>
      <c r="C339" s="1175"/>
      <c r="D339" s="1169"/>
      <c r="E339" s="1179"/>
      <c r="F339" s="1837"/>
      <c r="G339" s="692" t="s">
        <v>104</v>
      </c>
      <c r="H339" s="2543" t="s">
        <v>109</v>
      </c>
      <c r="I339" s="2544" t="s">
        <v>1137</v>
      </c>
      <c r="J339" s="2727" t="s">
        <v>22</v>
      </c>
      <c r="K339" s="2545" t="s">
        <v>1222</v>
      </c>
      <c r="L339" s="2135" t="s">
        <v>19</v>
      </c>
      <c r="M339" s="2136"/>
      <c r="N339" s="1992"/>
      <c r="O339" s="1186" t="s">
        <v>391</v>
      </c>
      <c r="P339" s="1187"/>
      <c r="Q339" s="1187"/>
      <c r="R339" s="1187"/>
      <c r="S339" s="1187"/>
      <c r="T339" s="1187"/>
      <c r="U339" s="1187"/>
      <c r="V339" s="1187"/>
      <c r="W339" s="1187"/>
      <c r="X339" s="1187"/>
      <c r="Y339" s="1187"/>
      <c r="Z339" s="1187"/>
      <c r="AA339" s="1187"/>
      <c r="AB339" s="1187"/>
      <c r="AC339" s="1187"/>
      <c r="AD339" s="1187"/>
      <c r="AE339" s="1187"/>
      <c r="AF339" s="2534">
        <v>5</v>
      </c>
      <c r="AG339" s="2535" t="s">
        <v>1072</v>
      </c>
      <c r="AH339" s="2535" t="s">
        <v>1158</v>
      </c>
      <c r="AI339" s="2906">
        <v>1</v>
      </c>
      <c r="AJ339" s="2535" t="s">
        <v>1072</v>
      </c>
      <c r="AK339" s="2535" t="s">
        <v>1085</v>
      </c>
      <c r="AL339" s="1994"/>
      <c r="AM339" s="1831"/>
      <c r="AN339" s="1831"/>
      <c r="AO339" s="1831"/>
      <c r="AP339" s="1831"/>
      <c r="AQ339" s="1831"/>
      <c r="AR339" s="1831"/>
      <c r="AS339" s="1831"/>
      <c r="AT339" s="1831"/>
      <c r="AU339" s="1831"/>
      <c r="AV339" s="1831"/>
      <c r="AW339" s="1831"/>
      <c r="AX339" s="1831"/>
      <c r="AY339" s="1831"/>
      <c r="AZ339" s="1831"/>
      <c r="BA339" s="1831"/>
      <c r="BB339" s="1831"/>
      <c r="BC339" s="1831"/>
      <c r="BD339" s="1831"/>
      <c r="BE339" s="1831"/>
      <c r="BF339" s="1831"/>
      <c r="BG339" s="1644"/>
    </row>
    <row customHeight="1" ht="11.25">
      <c r="A340" s="1175" t="s">
        <v>1036</v>
      </c>
      <c r="B340" s="1175"/>
      <c r="C340" s="1175"/>
      <c r="D340" s="1169"/>
      <c r="E340" s="1179"/>
      <c r="F340" s="1837"/>
      <c r="G340" s="1838"/>
      <c r="H340" s="2543" t="s">
        <v>1220</v>
      </c>
      <c r="I340" s="2544"/>
      <c r="J340" s="2727"/>
      <c r="K340" s="2545"/>
      <c r="L340" s="2135"/>
      <c r="M340" s="2136"/>
      <c r="N340" s="2536"/>
      <c r="O340" s="2537">
        <v>1</v>
      </c>
      <c r="P340" s="2538" t="s">
        <v>19</v>
      </c>
      <c r="Q340" s="2541" t="s">
        <v>22</v>
      </c>
      <c r="R340" s="2541" t="s">
        <v>22</v>
      </c>
      <c r="S340" s="2541" t="s">
        <v>22</v>
      </c>
      <c r="T340" s="2541" t="s">
        <v>22</v>
      </c>
      <c r="U340" s="2541" t="s">
        <v>22</v>
      </c>
      <c r="V340" s="2541" t="s">
        <v>22</v>
      </c>
      <c r="W340" s="2541" t="s">
        <v>22</v>
      </c>
      <c r="X340" s="2541" t="s">
        <v>22</v>
      </c>
      <c r="Y340" s="2541"/>
      <c r="Z340" s="1184"/>
      <c r="AA340" s="1185"/>
      <c r="AB340" s="1185"/>
      <c r="AC340" s="1189"/>
      <c r="AD340" s="1189"/>
      <c r="AE340" s="1190"/>
      <c r="AF340" s="2534"/>
      <c r="AG340" s="2535"/>
      <c r="AH340" s="2535"/>
      <c r="AI340" s="2906"/>
      <c r="AJ340" s="2535"/>
      <c r="AK340" s="2535"/>
      <c r="AL340" s="1994"/>
      <c r="AM340" s="1831"/>
      <c r="AN340" s="1831"/>
      <c r="AO340" s="1831"/>
      <c r="AP340" s="1831"/>
      <c r="AQ340" s="1831"/>
      <c r="AR340" s="1831"/>
      <c r="AS340" s="1831"/>
      <c r="AT340" s="1831"/>
      <c r="AU340" s="1831"/>
      <c r="AV340" s="1831"/>
      <c r="AW340" s="1831"/>
      <c r="AX340" s="1831"/>
      <c r="AY340" s="1831"/>
      <c r="AZ340" s="1831"/>
      <c r="BA340" s="1831"/>
      <c r="BB340" s="1831"/>
      <c r="BC340" s="1831"/>
      <c r="BD340" s="1831"/>
      <c r="BE340" s="1831"/>
      <c r="BF340" s="1831"/>
      <c r="BG340" s="1644"/>
    </row>
    <row customHeight="1" ht="11.25">
      <c r="A341" s="1175" t="s">
        <v>1036</v>
      </c>
      <c r="B341" s="1175"/>
      <c r="C341" s="1175"/>
      <c r="D341" s="1169"/>
      <c r="E341" s="1179"/>
      <c r="F341" s="1837"/>
      <c r="G341" s="1838"/>
      <c r="H341" s="2543" t="s">
        <v>1220</v>
      </c>
      <c r="I341" s="2544"/>
      <c r="J341" s="2727"/>
      <c r="K341" s="2545"/>
      <c r="L341" s="2135"/>
      <c r="M341" s="2136"/>
      <c r="N341" s="2536"/>
      <c r="O341" s="2537"/>
      <c r="P341" s="2539"/>
      <c r="Q341" s="2541"/>
      <c r="R341" s="2541"/>
      <c r="S341" s="2542"/>
      <c r="T341" s="2541"/>
      <c r="U341" s="2541"/>
      <c r="V341" s="2541"/>
      <c r="W341" s="2541"/>
      <c r="X341" s="2541"/>
      <c r="Y341" s="2541"/>
      <c r="Z341" s="1836"/>
      <c r="AA341" s="1802">
        <v>1</v>
      </c>
      <c r="AB341" s="1188" t="s">
        <v>1125</v>
      </c>
      <c r="AC341" s="1178">
        <v>3411.81</v>
      </c>
      <c r="AD341" s="1188" t="str">
        <f>AB341</f>
        <v>  Прочие</v>
      </c>
      <c r="AE341" s="1178">
        <v>2720.86</v>
      </c>
      <c r="AF341" s="2534"/>
      <c r="AG341" s="2535"/>
      <c r="AH341" s="2535"/>
      <c r="AI341" s="2906"/>
      <c r="AJ341" s="2535"/>
      <c r="AK341" s="2535"/>
      <c r="AL341" s="1994"/>
      <c r="AM341" s="1831"/>
      <c r="AN341" s="1831"/>
      <c r="AO341" s="1831"/>
      <c r="AP341" s="1831"/>
      <c r="AQ341" s="1831"/>
      <c r="AR341" s="1831"/>
      <c r="AS341" s="1831"/>
      <c r="AT341" s="1831"/>
      <c r="AU341" s="1831"/>
      <c r="AV341" s="1831"/>
      <c r="AW341" s="1831"/>
      <c r="AX341" s="1831"/>
      <c r="AY341" s="1831"/>
      <c r="AZ341" s="1831"/>
      <c r="BA341" s="1831"/>
      <c r="BB341" s="1831"/>
      <c r="BC341" s="1831"/>
      <c r="BD341" s="1831"/>
      <c r="BE341" s="1831"/>
      <c r="BF341" s="1831"/>
      <c r="BG341" s="1644"/>
    </row>
    <row customHeight="1" ht="11.25">
      <c r="A342" s="1175" t="s">
        <v>1036</v>
      </c>
      <c r="B342" s="1175"/>
      <c r="C342" s="1175"/>
      <c r="D342" s="1169"/>
      <c r="E342" s="1179"/>
      <c r="F342" s="1837"/>
      <c r="G342" s="1838"/>
      <c r="H342" s="2543" t="s">
        <v>1220</v>
      </c>
      <c r="I342" s="2544"/>
      <c r="J342" s="2727"/>
      <c r="K342" s="2545"/>
      <c r="L342" s="2135"/>
      <c r="M342" s="2136"/>
      <c r="N342" s="2536"/>
      <c r="O342" s="2537"/>
      <c r="P342" s="2540"/>
      <c r="Q342" s="2541"/>
      <c r="R342" s="2541"/>
      <c r="S342" s="2542"/>
      <c r="T342" s="2541"/>
      <c r="U342" s="2541"/>
      <c r="V342" s="2541"/>
      <c r="W342" s="2541"/>
      <c r="X342" s="2541"/>
      <c r="Y342" s="2541"/>
      <c r="Z342" s="1184"/>
      <c r="AA342" s="1185"/>
      <c r="AB342" s="1250" t="s">
        <v>1082</v>
      </c>
      <c r="AC342" s="1189"/>
      <c r="AD342" s="1189"/>
      <c r="AE342" s="1191"/>
      <c r="AF342" s="2534"/>
      <c r="AG342" s="2535"/>
      <c r="AH342" s="2535"/>
      <c r="AI342" s="2906"/>
      <c r="AJ342" s="2535"/>
      <c r="AK342" s="2535"/>
      <c r="AL342" s="1994"/>
      <c r="AM342" s="1831"/>
      <c r="AN342" s="1831"/>
      <c r="AO342" s="1831"/>
      <c r="AP342" s="1831"/>
      <c r="AQ342" s="1831"/>
      <c r="AR342" s="1831"/>
      <c r="AS342" s="1831"/>
      <c r="AT342" s="1831"/>
      <c r="AU342" s="1831"/>
      <c r="AV342" s="1831"/>
      <c r="AW342" s="1831"/>
      <c r="AX342" s="1831"/>
      <c r="AY342" s="1831"/>
      <c r="AZ342" s="1831"/>
      <c r="BA342" s="1831"/>
      <c r="BB342" s="1831"/>
      <c r="BC342" s="1831"/>
      <c r="BD342" s="1831"/>
      <c r="BE342" s="1831"/>
      <c r="BF342" s="1831"/>
      <c r="BG342" s="1644"/>
    </row>
    <row customHeight="1" ht="11.25">
      <c r="A343" s="1175" t="s">
        <v>1036</v>
      </c>
      <c r="B343" s="1175"/>
      <c r="C343" s="1175"/>
      <c r="D343" s="1169"/>
      <c r="E343" s="1179"/>
      <c r="F343" s="1837"/>
      <c r="G343" s="1838"/>
      <c r="H343" s="2543" t="s">
        <v>1220</v>
      </c>
      <c r="I343" s="2544"/>
      <c r="J343" s="2727"/>
      <c r="K343" s="2545"/>
      <c r="L343" s="2135"/>
      <c r="M343" s="2136"/>
      <c r="N343" s="1184"/>
      <c r="O343" s="1185"/>
      <c r="P343" s="1177" t="s">
        <v>1083</v>
      </c>
      <c r="Q343" s="1185"/>
      <c r="R343" s="1185"/>
      <c r="S343" s="1185"/>
      <c r="T343" s="1185"/>
      <c r="U343" s="1185"/>
      <c r="V343" s="1185"/>
      <c r="W343" s="1185"/>
      <c r="X343" s="1185"/>
      <c r="Y343" s="1185"/>
      <c r="Z343" s="1185"/>
      <c r="AA343" s="1185"/>
      <c r="AB343" s="1185"/>
      <c r="AC343" s="1185"/>
      <c r="AD343" s="1185"/>
      <c r="AE343" s="1192"/>
      <c r="AF343" s="2534"/>
      <c r="AG343" s="2535"/>
      <c r="AH343" s="2535"/>
      <c r="AI343" s="2906"/>
      <c r="AJ343" s="2535"/>
      <c r="AK343" s="2535"/>
      <c r="AL343" s="1994"/>
      <c r="AM343" s="1831"/>
      <c r="AN343" s="1831"/>
      <c r="AO343" s="1831"/>
      <c r="AP343" s="1831"/>
      <c r="AQ343" s="1831"/>
      <c r="AR343" s="1831"/>
      <c r="AS343" s="1831"/>
      <c r="AT343" s="1831"/>
      <c r="AU343" s="1831"/>
      <c r="AV343" s="1831"/>
      <c r="AW343" s="1831"/>
      <c r="AX343" s="1831"/>
      <c r="AY343" s="1831"/>
      <c r="AZ343" s="1831"/>
      <c r="BA343" s="1831"/>
      <c r="BB343" s="1831"/>
      <c r="BC343" s="1831"/>
      <c r="BD343" s="1831"/>
      <c r="BE343" s="1831"/>
      <c r="BF343" s="1831"/>
      <c r="BG343" s="1644"/>
    </row>
    <row customHeight="1" ht="11.25">
      <c r="A344" s="1175" t="s">
        <v>1036</v>
      </c>
      <c r="B344" s="1175" t="s">
        <v>22</v>
      </c>
      <c r="C344" s="1175"/>
      <c r="D344" s="1169"/>
      <c r="E344" s="1179"/>
      <c r="F344" s="1837"/>
      <c r="G344" s="692" t="s">
        <v>104</v>
      </c>
      <c r="H344" s="2543" t="s">
        <v>1223</v>
      </c>
      <c r="I344" s="2544" t="s">
        <v>1143</v>
      </c>
      <c r="J344" s="2727" t="s">
        <v>22</v>
      </c>
      <c r="K344" s="2545" t="s">
        <v>1224</v>
      </c>
      <c r="L344" s="2135" t="s">
        <v>19</v>
      </c>
      <c r="M344" s="2136"/>
      <c r="N344" s="1992"/>
      <c r="O344" s="1186" t="s">
        <v>391</v>
      </c>
      <c r="P344" s="1187"/>
      <c r="Q344" s="1187"/>
      <c r="R344" s="1187"/>
      <c r="S344" s="1187"/>
      <c r="T344" s="1187"/>
      <c r="U344" s="1187"/>
      <c r="V344" s="1187"/>
      <c r="W344" s="1187"/>
      <c r="X344" s="1187"/>
      <c r="Y344" s="1187"/>
      <c r="Z344" s="1187"/>
      <c r="AA344" s="1187"/>
      <c r="AB344" s="1187"/>
      <c r="AC344" s="1187"/>
      <c r="AD344" s="1187"/>
      <c r="AE344" s="1187"/>
      <c r="AF344" s="2534">
        <v>2</v>
      </c>
      <c r="AG344" s="2535" t="s">
        <v>1072</v>
      </c>
      <c r="AH344" s="2535" t="s">
        <v>1073</v>
      </c>
      <c r="AI344" s="2724"/>
      <c r="AJ344" s="2535" t="s">
        <v>1074</v>
      </c>
      <c r="AK344" s="2535" t="s">
        <v>1074</v>
      </c>
      <c r="AL344" s="1994"/>
      <c r="AM344" s="1831"/>
      <c r="AN344" s="1831"/>
      <c r="AO344" s="1831"/>
      <c r="AP344" s="1831"/>
      <c r="AQ344" s="1831"/>
      <c r="AR344" s="1831"/>
      <c r="AS344" s="1831"/>
      <c r="AT344" s="1831"/>
      <c r="AU344" s="1831"/>
      <c r="AV344" s="1831"/>
      <c r="AW344" s="1831"/>
      <c r="AX344" s="1831"/>
      <c r="AY344" s="1831"/>
      <c r="AZ344" s="1831"/>
      <c r="BA344" s="1831"/>
      <c r="BB344" s="1831"/>
      <c r="BC344" s="1831"/>
      <c r="BD344" s="1831"/>
      <c r="BE344" s="1831"/>
      <c r="BF344" s="1831"/>
      <c r="BG344" s="1644"/>
    </row>
    <row customHeight="1" ht="11.25">
      <c r="A345" s="1175" t="s">
        <v>1036</v>
      </c>
      <c r="B345" s="1175"/>
      <c r="C345" s="1175"/>
      <c r="D345" s="1169"/>
      <c r="E345" s="1179"/>
      <c r="F345" s="1837"/>
      <c r="G345" s="1838"/>
      <c r="H345" s="2543" t="s">
        <v>109</v>
      </c>
      <c r="I345" s="2544"/>
      <c r="J345" s="2727"/>
      <c r="K345" s="2545"/>
      <c r="L345" s="2135"/>
      <c r="M345" s="2136"/>
      <c r="N345" s="2536"/>
      <c r="O345" s="2537">
        <v>1</v>
      </c>
      <c r="P345" s="2538" t="s">
        <v>19</v>
      </c>
      <c r="Q345" s="2541" t="s">
        <v>22</v>
      </c>
      <c r="R345" s="2541" t="s">
        <v>22</v>
      </c>
      <c r="S345" s="2541" t="s">
        <v>22</v>
      </c>
      <c r="T345" s="2541" t="s">
        <v>22</v>
      </c>
      <c r="U345" s="2541" t="s">
        <v>22</v>
      </c>
      <c r="V345" s="2541" t="s">
        <v>22</v>
      </c>
      <c r="W345" s="2541" t="s">
        <v>22</v>
      </c>
      <c r="X345" s="2541" t="s">
        <v>22</v>
      </c>
      <c r="Y345" s="2541"/>
      <c r="Z345" s="1184"/>
      <c r="AA345" s="1185"/>
      <c r="AB345" s="1185"/>
      <c r="AC345" s="1189"/>
      <c r="AD345" s="1189"/>
      <c r="AE345" s="1190"/>
      <c r="AF345" s="2534"/>
      <c r="AG345" s="2535"/>
      <c r="AH345" s="2535"/>
      <c r="AI345" s="2724"/>
      <c r="AJ345" s="2535"/>
      <c r="AK345" s="2535"/>
      <c r="AL345" s="1994"/>
      <c r="AM345" s="1831"/>
      <c r="AN345" s="1831"/>
      <c r="AO345" s="1831"/>
      <c r="AP345" s="1831"/>
      <c r="AQ345" s="1831"/>
      <c r="AR345" s="1831"/>
      <c r="AS345" s="1831"/>
      <c r="AT345" s="1831"/>
      <c r="AU345" s="1831"/>
      <c r="AV345" s="1831"/>
      <c r="AW345" s="1831"/>
      <c r="AX345" s="1831"/>
      <c r="AY345" s="1831"/>
      <c r="AZ345" s="1831"/>
      <c r="BA345" s="1831"/>
      <c r="BB345" s="1831"/>
      <c r="BC345" s="1831"/>
      <c r="BD345" s="1831"/>
      <c r="BE345" s="1831"/>
      <c r="BF345" s="1831"/>
      <c r="BG345" s="1644"/>
    </row>
    <row customHeight="1" ht="11.25">
      <c r="A346" s="1175" t="s">
        <v>1036</v>
      </c>
      <c r="B346" s="1175"/>
      <c r="C346" s="1175"/>
      <c r="D346" s="1169"/>
      <c r="E346" s="1179"/>
      <c r="F346" s="1837"/>
      <c r="G346" s="1838"/>
      <c r="H346" s="2543" t="s">
        <v>109</v>
      </c>
      <c r="I346" s="2544"/>
      <c r="J346" s="2727"/>
      <c r="K346" s="2545"/>
      <c r="L346" s="2135"/>
      <c r="M346" s="2136"/>
      <c r="N346" s="2536"/>
      <c r="O346" s="2537"/>
      <c r="P346" s="2539"/>
      <c r="Q346" s="2541"/>
      <c r="R346" s="2541"/>
      <c r="S346" s="2542"/>
      <c r="T346" s="2541"/>
      <c r="U346" s="2541"/>
      <c r="V346" s="2541"/>
      <c r="W346" s="2541"/>
      <c r="X346" s="2541"/>
      <c r="Y346" s="2541"/>
      <c r="Z346" s="1836"/>
      <c r="AA346" s="1802">
        <v>1</v>
      </c>
      <c r="AB346" s="1188" t="s">
        <v>1081</v>
      </c>
      <c r="AC346" s="1178">
        <v>11250</v>
      </c>
      <c r="AD346" s="1188" t="str">
        <f>AB346</f>
        <v>      Амортизационные отчисления с выделением результатов переоценки основных средств и нематериальных активов</v>
      </c>
      <c r="AE346" s="1178">
        <v>4238.34</v>
      </c>
      <c r="AF346" s="2534"/>
      <c r="AG346" s="2535"/>
      <c r="AH346" s="2535"/>
      <c r="AI346" s="2724"/>
      <c r="AJ346" s="2535"/>
      <c r="AK346" s="2535"/>
      <c r="AL346" s="1994"/>
      <c r="AM346" s="1831"/>
      <c r="AN346" s="1831"/>
      <c r="AO346" s="1831"/>
      <c r="AP346" s="1831"/>
      <c r="AQ346" s="1831"/>
      <c r="AR346" s="1831"/>
      <c r="AS346" s="1831"/>
      <c r="AT346" s="1831"/>
      <c r="AU346" s="1831"/>
      <c r="AV346" s="1831"/>
      <c r="AW346" s="1831"/>
      <c r="AX346" s="1831"/>
      <c r="AY346" s="1831"/>
      <c r="AZ346" s="1831"/>
      <c r="BA346" s="1831"/>
      <c r="BB346" s="1831"/>
      <c r="BC346" s="1831"/>
      <c r="BD346" s="1831"/>
      <c r="BE346" s="1831"/>
      <c r="BF346" s="1831"/>
      <c r="BG346" s="1644"/>
    </row>
    <row customHeight="1" ht="11.25">
      <c r="A347" s="1175" t="s">
        <v>1036</v>
      </c>
      <c r="B347" s="1175"/>
      <c r="C347" s="1175"/>
      <c r="D347" s="1169"/>
      <c r="E347" s="1179"/>
      <c r="F347" s="1837"/>
      <c r="G347" s="1838"/>
      <c r="H347" s="2543" t="s">
        <v>109</v>
      </c>
      <c r="I347" s="2544"/>
      <c r="J347" s="2727"/>
      <c r="K347" s="2545"/>
      <c r="L347" s="2135"/>
      <c r="M347" s="2136"/>
      <c r="N347" s="2536"/>
      <c r="O347" s="2537"/>
      <c r="P347" s="2540"/>
      <c r="Q347" s="2541"/>
      <c r="R347" s="2541"/>
      <c r="S347" s="2542"/>
      <c r="T347" s="2541"/>
      <c r="U347" s="2541"/>
      <c r="V347" s="2541"/>
      <c r="W347" s="2541"/>
      <c r="X347" s="2541"/>
      <c r="Y347" s="2541"/>
      <c r="Z347" s="1184"/>
      <c r="AA347" s="1185"/>
      <c r="AB347" s="1250" t="s">
        <v>1082</v>
      </c>
      <c r="AC347" s="1189"/>
      <c r="AD347" s="1189"/>
      <c r="AE347" s="1191"/>
      <c r="AF347" s="2534"/>
      <c r="AG347" s="2535"/>
      <c r="AH347" s="2535"/>
      <c r="AI347" s="2724"/>
      <c r="AJ347" s="2535"/>
      <c r="AK347" s="2535"/>
      <c r="AL347" s="1994"/>
      <c r="AM347" s="1831"/>
      <c r="AN347" s="1831"/>
      <c r="AO347" s="1831"/>
      <c r="AP347" s="1831"/>
      <c r="AQ347" s="1831"/>
      <c r="AR347" s="1831"/>
      <c r="AS347" s="1831"/>
      <c r="AT347" s="1831"/>
      <c r="AU347" s="1831"/>
      <c r="AV347" s="1831"/>
      <c r="AW347" s="1831"/>
      <c r="AX347" s="1831"/>
      <c r="AY347" s="1831"/>
      <c r="AZ347" s="1831"/>
      <c r="BA347" s="1831"/>
      <c r="BB347" s="1831"/>
      <c r="BC347" s="1831"/>
      <c r="BD347" s="1831"/>
      <c r="BE347" s="1831"/>
      <c r="BF347" s="1831"/>
      <c r="BG347" s="1644"/>
    </row>
    <row customHeight="1" ht="11.25">
      <c r="A348" s="1175" t="s">
        <v>1036</v>
      </c>
      <c r="B348" s="1175"/>
      <c r="C348" s="1175"/>
      <c r="D348" s="1169"/>
      <c r="E348" s="1179"/>
      <c r="F348" s="1837"/>
      <c r="G348" s="1838"/>
      <c r="H348" s="2543" t="s">
        <v>109</v>
      </c>
      <c r="I348" s="2544"/>
      <c r="J348" s="2727"/>
      <c r="K348" s="2545"/>
      <c r="L348" s="2135"/>
      <c r="M348" s="2136"/>
      <c r="N348" s="1184"/>
      <c r="O348" s="1185"/>
      <c r="P348" s="1177" t="s">
        <v>1083</v>
      </c>
      <c r="Q348" s="1185"/>
      <c r="R348" s="1185"/>
      <c r="S348" s="1185"/>
      <c r="T348" s="1185"/>
      <c r="U348" s="1185"/>
      <c r="V348" s="1185"/>
      <c r="W348" s="1185"/>
      <c r="X348" s="1185"/>
      <c r="Y348" s="1185"/>
      <c r="Z348" s="1185"/>
      <c r="AA348" s="1185"/>
      <c r="AB348" s="1185"/>
      <c r="AC348" s="1185"/>
      <c r="AD348" s="1185"/>
      <c r="AE348" s="1192"/>
      <c r="AF348" s="2534"/>
      <c r="AG348" s="2535"/>
      <c r="AH348" s="2535"/>
      <c r="AI348" s="2724"/>
      <c r="AJ348" s="2535"/>
      <c r="AK348" s="2535"/>
      <c r="AL348" s="1994"/>
      <c r="AM348" s="1831"/>
      <c r="AN348" s="1831"/>
      <c r="AO348" s="1831"/>
      <c r="AP348" s="1831"/>
      <c r="AQ348" s="1831"/>
      <c r="AR348" s="1831"/>
      <c r="AS348" s="1831"/>
      <c r="AT348" s="1831"/>
      <c r="AU348" s="1831"/>
      <c r="AV348" s="1831"/>
      <c r="AW348" s="1831"/>
      <c r="AX348" s="1831"/>
      <c r="AY348" s="1831"/>
      <c r="AZ348" s="1831"/>
      <c r="BA348" s="1831"/>
      <c r="BB348" s="1831"/>
      <c r="BC348" s="1831"/>
      <c r="BD348" s="1831"/>
      <c r="BE348" s="1831"/>
      <c r="BF348" s="1831"/>
      <c r="BG348" s="1644"/>
    </row>
    <row customHeight="1" ht="11.25">
      <c r="A349" s="1175" t="s">
        <v>1036</v>
      </c>
      <c r="B349" s="1175" t="s">
        <v>1165</v>
      </c>
      <c r="C349" s="1175"/>
      <c r="D349" s="1169"/>
      <c r="E349" s="1179"/>
      <c r="F349" s="1837"/>
      <c r="G349" s="692" t="s">
        <v>104</v>
      </c>
      <c r="H349" s="2543" t="s">
        <v>1225</v>
      </c>
      <c r="I349" s="2544" t="s">
        <v>1167</v>
      </c>
      <c r="J349" s="2513" t="s">
        <v>1173</v>
      </c>
      <c r="K349" s="2545" t="s">
        <v>1226</v>
      </c>
      <c r="L349" s="2135" t="s">
        <v>19</v>
      </c>
      <c r="M349" s="2136"/>
      <c r="N349" s="1992"/>
      <c r="O349" s="1186" t="s">
        <v>391</v>
      </c>
      <c r="P349" s="1187"/>
      <c r="Q349" s="1187"/>
      <c r="R349" s="1187"/>
      <c r="S349" s="1187"/>
      <c r="T349" s="1187"/>
      <c r="U349" s="1187"/>
      <c r="V349" s="1187"/>
      <c r="W349" s="1187"/>
      <c r="X349" s="1187"/>
      <c r="Y349" s="1187"/>
      <c r="Z349" s="1187"/>
      <c r="AA349" s="1187"/>
      <c r="AB349" s="1187"/>
      <c r="AC349" s="1187"/>
      <c r="AD349" s="1187"/>
      <c r="AE349" s="1187"/>
      <c r="AF349" s="2534">
        <v>2</v>
      </c>
      <c r="AG349" s="2535" t="s">
        <v>1094</v>
      </c>
      <c r="AH349" s="2535" t="s">
        <v>1073</v>
      </c>
      <c r="AI349" s="2724"/>
      <c r="AJ349" s="2535" t="s">
        <v>1074</v>
      </c>
      <c r="AK349" s="2535" t="s">
        <v>1074</v>
      </c>
      <c r="AL349" s="1994"/>
      <c r="AM349" s="1831"/>
      <c r="AN349" s="1831"/>
      <c r="AO349" s="1831"/>
      <c r="AP349" s="1831"/>
      <c r="AQ349" s="1831"/>
      <c r="AR349" s="1831"/>
      <c r="AS349" s="1831"/>
      <c r="AT349" s="1831"/>
      <c r="AU349" s="1831"/>
      <c r="AV349" s="1831"/>
      <c r="AW349" s="1831"/>
      <c r="AX349" s="1831"/>
      <c r="AY349" s="1831"/>
      <c r="AZ349" s="1831"/>
      <c r="BA349" s="1831"/>
      <c r="BB349" s="1831"/>
      <c r="BC349" s="1831"/>
      <c r="BD349" s="1831"/>
      <c r="BE349" s="1831"/>
      <c r="BF349" s="1831"/>
      <c r="BG349" s="1644"/>
    </row>
    <row customHeight="1" ht="11.25">
      <c r="A350" s="1175" t="s">
        <v>1036</v>
      </c>
      <c r="B350" s="1175"/>
      <c r="C350" s="1175"/>
      <c r="D350" s="1169"/>
      <c r="E350" s="1179"/>
      <c r="F350" s="1837"/>
      <c r="G350" s="1838"/>
      <c r="H350" s="2543" t="s">
        <v>1223</v>
      </c>
      <c r="I350" s="2544"/>
      <c r="J350" s="2513"/>
      <c r="K350" s="2545"/>
      <c r="L350" s="2135"/>
      <c r="M350" s="2136"/>
      <c r="N350" s="2536"/>
      <c r="O350" s="2537">
        <v>1</v>
      </c>
      <c r="P350" s="2538" t="s">
        <v>63</v>
      </c>
      <c r="Q350" s="2725" t="s">
        <v>1096</v>
      </c>
      <c r="R350" s="2726" t="s">
        <v>1097</v>
      </c>
      <c r="S350" s="2726" t="s">
        <v>106</v>
      </c>
      <c r="T350" s="2726" t="s">
        <v>106</v>
      </c>
      <c r="U350" s="2726" t="s">
        <v>107</v>
      </c>
      <c r="V350" s="2726" t="s">
        <v>1077</v>
      </c>
      <c r="W350" s="2726" t="s">
        <v>1078</v>
      </c>
      <c r="X350" s="2726" t="s">
        <v>1098</v>
      </c>
      <c r="Y350" s="2726" t="s">
        <v>1099</v>
      </c>
      <c r="Z350" s="1184"/>
      <c r="AA350" s="1185"/>
      <c r="AB350" s="1185"/>
      <c r="AC350" s="1189"/>
      <c r="AD350" s="1189"/>
      <c r="AE350" s="1190"/>
      <c r="AF350" s="2534"/>
      <c r="AG350" s="2535"/>
      <c r="AH350" s="2535"/>
      <c r="AI350" s="2724"/>
      <c r="AJ350" s="2535"/>
      <c r="AK350" s="2535"/>
      <c r="AL350" s="1994"/>
      <c r="AM350" s="1831"/>
      <c r="AN350" s="1831"/>
      <c r="AO350" s="1831"/>
      <c r="AP350" s="1831"/>
      <c r="AQ350" s="1831"/>
      <c r="AR350" s="1831"/>
      <c r="AS350" s="1831"/>
      <c r="AT350" s="1831"/>
      <c r="AU350" s="1831"/>
      <c r="AV350" s="1831"/>
      <c r="AW350" s="1831"/>
      <c r="AX350" s="1831"/>
      <c r="AY350" s="1831"/>
      <c r="AZ350" s="1831"/>
      <c r="BA350" s="1831"/>
      <c r="BB350" s="1831"/>
      <c r="BC350" s="1831"/>
      <c r="BD350" s="1831"/>
      <c r="BE350" s="1831"/>
      <c r="BF350" s="1831"/>
      <c r="BG350" s="1644"/>
    </row>
    <row customHeight="1" ht="11.25">
      <c r="A351" s="1175" t="s">
        <v>1036</v>
      </c>
      <c r="B351" s="1175"/>
      <c r="C351" s="1175"/>
      <c r="D351" s="1169"/>
      <c r="E351" s="1179"/>
      <c r="F351" s="1837"/>
      <c r="G351" s="1838"/>
      <c r="H351" s="2543" t="s">
        <v>1223</v>
      </c>
      <c r="I351" s="2544"/>
      <c r="J351" s="2513"/>
      <c r="K351" s="2545"/>
      <c r="L351" s="2135"/>
      <c r="M351" s="2136"/>
      <c r="N351" s="2536"/>
      <c r="O351" s="2537"/>
      <c r="P351" s="2539"/>
      <c r="Q351" s="2725"/>
      <c r="R351" s="2541"/>
      <c r="S351" s="2542"/>
      <c r="T351" s="2541"/>
      <c r="U351" s="2541"/>
      <c r="V351" s="2541"/>
      <c r="W351" s="2541"/>
      <c r="X351" s="2541"/>
      <c r="Y351" s="2541"/>
      <c r="Z351" s="1836"/>
      <c r="AA351" s="1802">
        <v>1</v>
      </c>
      <c r="AB351" s="1188" t="s">
        <v>1164</v>
      </c>
      <c r="AC351" s="1178">
        <v>47132.84</v>
      </c>
      <c r="AD351" s="1188" t="str">
        <f>AB351</f>
        <v>  За счет платы за технологическое присоединение</v>
      </c>
      <c r="AE351" s="1178">
        <v>0</v>
      </c>
      <c r="AF351" s="2534"/>
      <c r="AG351" s="2535"/>
      <c r="AH351" s="2535"/>
      <c r="AI351" s="2724"/>
      <c r="AJ351" s="2535"/>
      <c r="AK351" s="2535"/>
      <c r="AL351" s="1994"/>
      <c r="AM351" s="1831"/>
      <c r="AN351" s="1831"/>
      <c r="AO351" s="1831"/>
      <c r="AP351" s="1831"/>
      <c r="AQ351" s="1831"/>
      <c r="AR351" s="1831"/>
      <c r="AS351" s="1831"/>
      <c r="AT351" s="1831"/>
      <c r="AU351" s="1831"/>
      <c r="AV351" s="1831"/>
      <c r="AW351" s="1831"/>
      <c r="AX351" s="1831"/>
      <c r="AY351" s="1831"/>
      <c r="AZ351" s="1831"/>
      <c r="BA351" s="1831"/>
      <c r="BB351" s="1831"/>
      <c r="BC351" s="1831"/>
      <c r="BD351" s="1831"/>
      <c r="BE351" s="1831"/>
      <c r="BF351" s="1831"/>
      <c r="BG351" s="1644"/>
    </row>
    <row customHeight="1" ht="11.25">
      <c r="A352" s="1175" t="s">
        <v>1036</v>
      </c>
      <c r="B352" s="1175"/>
      <c r="C352" s="1175"/>
      <c r="D352" s="1169"/>
      <c r="E352" s="1179"/>
      <c r="F352" s="1838"/>
      <c r="G352" s="1838"/>
      <c r="H352" s="1838"/>
      <c r="I352" s="1838"/>
      <c r="J352" s="1838"/>
      <c r="K352" s="1838"/>
      <c r="L352" s="1838"/>
      <c r="M352" s="1838"/>
      <c r="N352" s="1838"/>
      <c r="O352" s="1838"/>
      <c r="P352" s="1838"/>
      <c r="Q352" s="1838"/>
      <c r="R352" s="1838"/>
      <c r="S352" s="1838"/>
      <c r="T352" s="1838"/>
      <c r="U352" s="1838"/>
      <c r="V352" s="1838"/>
      <c r="W352" s="1838"/>
      <c r="X352" s="1838"/>
      <c r="Y352" s="1838"/>
      <c r="Z352" s="692" t="s">
        <v>104</v>
      </c>
      <c r="AA352" s="1822" t="s">
        <v>103</v>
      </c>
      <c r="AB352" s="1188" t="s">
        <v>1091</v>
      </c>
      <c r="AC352" s="1178">
        <v>7345.73</v>
      </c>
      <c r="AD352" s="1188" t="str">
        <f>AB352</f>
        <v>  Прочие собственные средства</v>
      </c>
      <c r="AE352" s="1178">
        <v>487.5</v>
      </c>
      <c r="AF352" s="2095"/>
      <c r="AG352" s="1767"/>
      <c r="AH352" s="1767"/>
      <c r="AI352" s="2728"/>
      <c r="AJ352" s="1767"/>
      <c r="AK352" s="1993"/>
      <c r="AL352" s="1994"/>
      <c r="AM352" s="1831"/>
      <c r="AN352" s="1831"/>
      <c r="AO352" s="1831"/>
      <c r="AP352" s="1831"/>
      <c r="AQ352" s="1831"/>
      <c r="AR352" s="1831"/>
      <c r="AS352" s="1831"/>
      <c r="AT352" s="1831"/>
      <c r="AU352" s="1831"/>
      <c r="AV352" s="1831"/>
      <c r="AW352" s="1831"/>
      <c r="AX352" s="1831"/>
      <c r="AY352" s="1831"/>
      <c r="AZ352" s="1831"/>
      <c r="BA352" s="1831"/>
      <c r="BB352" s="1831"/>
      <c r="BC352" s="1831"/>
      <c r="BD352" s="1831"/>
      <c r="BE352" s="1831"/>
      <c r="BF352" s="1831"/>
      <c r="BG352" s="1644"/>
    </row>
    <row customHeight="1" ht="11.25">
      <c r="A353" s="1175" t="s">
        <v>1036</v>
      </c>
      <c r="B353" s="1175"/>
      <c r="C353" s="1175"/>
      <c r="D353" s="1169"/>
      <c r="E353" s="1179"/>
      <c r="F353" s="1837"/>
      <c r="G353" s="1838"/>
      <c r="H353" s="2543" t="s">
        <v>1223</v>
      </c>
      <c r="I353" s="2544"/>
      <c r="J353" s="2513"/>
      <c r="K353" s="2545"/>
      <c r="L353" s="2135"/>
      <c r="M353" s="2136"/>
      <c r="N353" s="2536"/>
      <c r="O353" s="2537"/>
      <c r="P353" s="2540"/>
      <c r="Q353" s="2725"/>
      <c r="R353" s="2541"/>
      <c r="S353" s="2542"/>
      <c r="T353" s="2541"/>
      <c r="U353" s="2541"/>
      <c r="V353" s="2541"/>
      <c r="W353" s="2541"/>
      <c r="X353" s="2541"/>
      <c r="Y353" s="2541"/>
      <c r="Z353" s="1184"/>
      <c r="AA353" s="1185"/>
      <c r="AB353" s="1250" t="s">
        <v>1082</v>
      </c>
      <c r="AC353" s="1189"/>
      <c r="AD353" s="1189"/>
      <c r="AE353" s="1191"/>
      <c r="AF353" s="2534"/>
      <c r="AG353" s="2535"/>
      <c r="AH353" s="2535"/>
      <c r="AI353" s="2724"/>
      <c r="AJ353" s="2535"/>
      <c r="AK353" s="2535"/>
      <c r="AL353" s="1994"/>
      <c r="AM353" s="1831"/>
      <c r="AN353" s="1831"/>
      <c r="AO353" s="1831"/>
      <c r="AP353" s="1831"/>
      <c r="AQ353" s="1831"/>
      <c r="AR353" s="1831"/>
      <c r="AS353" s="1831"/>
      <c r="AT353" s="1831"/>
      <c r="AU353" s="1831"/>
      <c r="AV353" s="1831"/>
      <c r="AW353" s="1831"/>
      <c r="AX353" s="1831"/>
      <c r="AY353" s="1831"/>
      <c r="AZ353" s="1831"/>
      <c r="BA353" s="1831"/>
      <c r="BB353" s="1831"/>
      <c r="BC353" s="1831"/>
      <c r="BD353" s="1831"/>
      <c r="BE353" s="1831"/>
      <c r="BF353" s="1831"/>
      <c r="BG353" s="1644"/>
    </row>
    <row customHeight="1" ht="11.25">
      <c r="A354" s="1175" t="s">
        <v>1036</v>
      </c>
      <c r="B354" s="1175"/>
      <c r="C354" s="1175"/>
      <c r="D354" s="1169"/>
      <c r="E354" s="1179"/>
      <c r="F354" s="1837"/>
      <c r="G354" s="1838"/>
      <c r="H354" s="2543" t="s">
        <v>1223</v>
      </c>
      <c r="I354" s="2544"/>
      <c r="J354" s="2513"/>
      <c r="K354" s="2545"/>
      <c r="L354" s="2135"/>
      <c r="M354" s="2136"/>
      <c r="N354" s="1184"/>
      <c r="O354" s="1185"/>
      <c r="P354" s="1177" t="s">
        <v>1083</v>
      </c>
      <c r="Q354" s="1185"/>
      <c r="R354" s="1185"/>
      <c r="S354" s="1185"/>
      <c r="T354" s="1185"/>
      <c r="U354" s="1185"/>
      <c r="V354" s="1185"/>
      <c r="W354" s="1185"/>
      <c r="X354" s="1185"/>
      <c r="Y354" s="1185"/>
      <c r="Z354" s="1185"/>
      <c r="AA354" s="1185"/>
      <c r="AB354" s="1185"/>
      <c r="AC354" s="1185"/>
      <c r="AD354" s="1185"/>
      <c r="AE354" s="1192"/>
      <c r="AF354" s="2534"/>
      <c r="AG354" s="2535"/>
      <c r="AH354" s="2535"/>
      <c r="AI354" s="2724"/>
      <c r="AJ354" s="2535"/>
      <c r="AK354" s="2535"/>
      <c r="AL354" s="1994"/>
      <c r="AM354" s="1831"/>
      <c r="AN354" s="1831"/>
      <c r="AO354" s="1831"/>
      <c r="AP354" s="1831"/>
      <c r="AQ354" s="1831"/>
      <c r="AR354" s="1831"/>
      <c r="AS354" s="1831"/>
      <c r="AT354" s="1831"/>
      <c r="AU354" s="1831"/>
      <c r="AV354" s="1831"/>
      <c r="AW354" s="1831"/>
      <c r="AX354" s="1831"/>
      <c r="AY354" s="1831"/>
      <c r="AZ354" s="1831"/>
      <c r="BA354" s="1831"/>
      <c r="BB354" s="1831"/>
      <c r="BC354" s="1831"/>
      <c r="BD354" s="1831"/>
      <c r="BE354" s="1831"/>
      <c r="BF354" s="1831"/>
      <c r="BG354" s="1644"/>
    </row>
    <row customHeight="1" ht="11.25">
      <c r="A355" s="1175" t="s">
        <v>1036</v>
      </c>
      <c r="B355" s="1175" t="s">
        <v>1165</v>
      </c>
      <c r="C355" s="1175"/>
      <c r="D355" s="1169"/>
      <c r="E355" s="1179"/>
      <c r="F355" s="1837"/>
      <c r="G355" s="692" t="s">
        <v>104</v>
      </c>
      <c r="H355" s="2543" t="s">
        <v>1227</v>
      </c>
      <c r="I355" s="2544" t="s">
        <v>1167</v>
      </c>
      <c r="J355" s="2513" t="s">
        <v>1173</v>
      </c>
      <c r="K355" s="2545" t="s">
        <v>1228</v>
      </c>
      <c r="L355" s="2135" t="s">
        <v>19</v>
      </c>
      <c r="M355" s="2136"/>
      <c r="N355" s="1992"/>
      <c r="O355" s="1186" t="s">
        <v>391</v>
      </c>
      <c r="P355" s="1187"/>
      <c r="Q355" s="1187"/>
      <c r="R355" s="1187"/>
      <c r="S355" s="1187"/>
      <c r="T355" s="1187"/>
      <c r="U355" s="1187"/>
      <c r="V355" s="1187"/>
      <c r="W355" s="1187"/>
      <c r="X355" s="1187"/>
      <c r="Y355" s="1187"/>
      <c r="Z355" s="1187"/>
      <c r="AA355" s="1187"/>
      <c r="AB355" s="1187"/>
      <c r="AC355" s="1187"/>
      <c r="AD355" s="1187"/>
      <c r="AE355" s="1187"/>
      <c r="AF355" s="2534">
        <v>2</v>
      </c>
      <c r="AG355" s="2535" t="s">
        <v>1094</v>
      </c>
      <c r="AH355" s="2535" t="s">
        <v>1073</v>
      </c>
      <c r="AI355" s="2724"/>
      <c r="AJ355" s="2535" t="s">
        <v>1074</v>
      </c>
      <c r="AK355" s="2535" t="s">
        <v>1074</v>
      </c>
      <c r="AL355" s="1994"/>
      <c r="AM355" s="1831"/>
      <c r="AN355" s="1831"/>
      <c r="AO355" s="1831"/>
      <c r="AP355" s="1831"/>
      <c r="AQ355" s="1831"/>
      <c r="AR355" s="1831"/>
      <c r="AS355" s="1831"/>
      <c r="AT355" s="1831"/>
      <c r="AU355" s="1831"/>
      <c r="AV355" s="1831"/>
      <c r="AW355" s="1831"/>
      <c r="AX355" s="1831"/>
      <c r="AY355" s="1831"/>
      <c r="AZ355" s="1831"/>
      <c r="BA355" s="1831"/>
      <c r="BB355" s="1831"/>
      <c r="BC355" s="1831"/>
      <c r="BD355" s="1831"/>
      <c r="BE355" s="1831"/>
      <c r="BF355" s="1831"/>
      <c r="BG355" s="1644"/>
    </row>
    <row customHeight="1" ht="11.25">
      <c r="A356" s="1175" t="s">
        <v>1036</v>
      </c>
      <c r="B356" s="1175"/>
      <c r="C356" s="1175"/>
      <c r="D356" s="1169"/>
      <c r="E356" s="1179"/>
      <c r="F356" s="1837"/>
      <c r="G356" s="1838"/>
      <c r="H356" s="2543" t="s">
        <v>1225</v>
      </c>
      <c r="I356" s="2544"/>
      <c r="J356" s="2513"/>
      <c r="K356" s="2545"/>
      <c r="L356" s="2135"/>
      <c r="M356" s="2136"/>
      <c r="N356" s="2536"/>
      <c r="O356" s="2537">
        <v>1</v>
      </c>
      <c r="P356" s="2538" t="s">
        <v>63</v>
      </c>
      <c r="Q356" s="2725" t="s">
        <v>1101</v>
      </c>
      <c r="R356" s="2726" t="s">
        <v>1076</v>
      </c>
      <c r="S356" s="2726" t="s">
        <v>106</v>
      </c>
      <c r="T356" s="2726" t="s">
        <v>106</v>
      </c>
      <c r="U356" s="2726" t="s">
        <v>107</v>
      </c>
      <c r="V356" s="2726" t="s">
        <v>1077</v>
      </c>
      <c r="W356" s="2726" t="s">
        <v>1078</v>
      </c>
      <c r="X356" s="2726" t="s">
        <v>1102</v>
      </c>
      <c r="Y356" s="2726" t="s">
        <v>1103</v>
      </c>
      <c r="Z356" s="1184"/>
      <c r="AA356" s="1185"/>
      <c r="AB356" s="1185"/>
      <c r="AC356" s="1189"/>
      <c r="AD356" s="1189"/>
      <c r="AE356" s="1190"/>
      <c r="AF356" s="2534"/>
      <c r="AG356" s="2535"/>
      <c r="AH356" s="2535"/>
      <c r="AI356" s="2724"/>
      <c r="AJ356" s="2535"/>
      <c r="AK356" s="2535"/>
      <c r="AL356" s="1994"/>
      <c r="AM356" s="1831"/>
      <c r="AN356" s="1831"/>
      <c r="AO356" s="1831"/>
      <c r="AP356" s="1831"/>
      <c r="AQ356" s="1831"/>
      <c r="AR356" s="1831"/>
      <c r="AS356" s="1831"/>
      <c r="AT356" s="1831"/>
      <c r="AU356" s="1831"/>
      <c r="AV356" s="1831"/>
      <c r="AW356" s="1831"/>
      <c r="AX356" s="1831"/>
      <c r="AY356" s="1831"/>
      <c r="AZ356" s="1831"/>
      <c r="BA356" s="1831"/>
      <c r="BB356" s="1831"/>
      <c r="BC356" s="1831"/>
      <c r="BD356" s="1831"/>
      <c r="BE356" s="1831"/>
      <c r="BF356" s="1831"/>
      <c r="BG356" s="1644"/>
    </row>
    <row customHeight="1" ht="11.25">
      <c r="A357" s="1175" t="s">
        <v>1036</v>
      </c>
      <c r="B357" s="1175"/>
      <c r="C357" s="1175"/>
      <c r="D357" s="1169"/>
      <c r="E357" s="1179"/>
      <c r="F357" s="1837"/>
      <c r="G357" s="1838"/>
      <c r="H357" s="2543" t="s">
        <v>1225</v>
      </c>
      <c r="I357" s="2544"/>
      <c r="J357" s="2513"/>
      <c r="K357" s="2545"/>
      <c r="L357" s="2135"/>
      <c r="M357" s="2136"/>
      <c r="N357" s="2536"/>
      <c r="O357" s="2537"/>
      <c r="P357" s="2539"/>
      <c r="Q357" s="2725"/>
      <c r="R357" s="2541"/>
      <c r="S357" s="2542"/>
      <c r="T357" s="2541"/>
      <c r="U357" s="2541"/>
      <c r="V357" s="2541"/>
      <c r="W357" s="2541"/>
      <c r="X357" s="2541"/>
      <c r="Y357" s="2541"/>
      <c r="Z357" s="1836"/>
      <c r="AA357" s="1802">
        <v>1</v>
      </c>
      <c r="AB357" s="1188" t="s">
        <v>1164</v>
      </c>
      <c r="AC357" s="1178">
        <v>14330.9</v>
      </c>
      <c r="AD357" s="1188" t="str">
        <f>AB357</f>
        <v>  За счет платы за технологическое присоединение</v>
      </c>
      <c r="AE357" s="1178">
        <v>351.99</v>
      </c>
      <c r="AF357" s="2534"/>
      <c r="AG357" s="2535"/>
      <c r="AH357" s="2535"/>
      <c r="AI357" s="2724"/>
      <c r="AJ357" s="2535"/>
      <c r="AK357" s="2535"/>
      <c r="AL357" s="1994"/>
      <c r="AM357" s="1831"/>
      <c r="AN357" s="1831"/>
      <c r="AO357" s="1831"/>
      <c r="AP357" s="1831"/>
      <c r="AQ357" s="1831"/>
      <c r="AR357" s="1831"/>
      <c r="AS357" s="1831"/>
      <c r="AT357" s="1831"/>
      <c r="AU357" s="1831"/>
      <c r="AV357" s="1831"/>
      <c r="AW357" s="1831"/>
      <c r="AX357" s="1831"/>
      <c r="AY357" s="1831"/>
      <c r="AZ357" s="1831"/>
      <c r="BA357" s="1831"/>
      <c r="BB357" s="1831"/>
      <c r="BC357" s="1831"/>
      <c r="BD357" s="1831"/>
      <c r="BE357" s="1831"/>
      <c r="BF357" s="1831"/>
      <c r="BG357" s="1644"/>
    </row>
    <row customHeight="1" ht="11.25">
      <c r="A358" s="1175" t="s">
        <v>1036</v>
      </c>
      <c r="B358" s="1175"/>
      <c r="C358" s="1175"/>
      <c r="D358" s="1169"/>
      <c r="E358" s="1179"/>
      <c r="F358" s="1837"/>
      <c r="G358" s="1838"/>
      <c r="H358" s="2543" t="s">
        <v>1225</v>
      </c>
      <c r="I358" s="2544"/>
      <c r="J358" s="2513"/>
      <c r="K358" s="2545"/>
      <c r="L358" s="2135"/>
      <c r="M358" s="2136"/>
      <c r="N358" s="2536"/>
      <c r="O358" s="2537"/>
      <c r="P358" s="2540"/>
      <c r="Q358" s="2725"/>
      <c r="R358" s="2541"/>
      <c r="S358" s="2542"/>
      <c r="T358" s="2541"/>
      <c r="U358" s="2541"/>
      <c r="V358" s="2541"/>
      <c r="W358" s="2541"/>
      <c r="X358" s="2541"/>
      <c r="Y358" s="2541"/>
      <c r="Z358" s="1184"/>
      <c r="AA358" s="1185"/>
      <c r="AB358" s="1250" t="s">
        <v>1082</v>
      </c>
      <c r="AC358" s="1189"/>
      <c r="AD358" s="1189"/>
      <c r="AE358" s="1191"/>
      <c r="AF358" s="2534"/>
      <c r="AG358" s="2535"/>
      <c r="AH358" s="2535"/>
      <c r="AI358" s="2724"/>
      <c r="AJ358" s="2535"/>
      <c r="AK358" s="2535"/>
      <c r="AL358" s="1994"/>
      <c r="AM358" s="1831"/>
      <c r="AN358" s="1831"/>
      <c r="AO358" s="1831"/>
      <c r="AP358" s="1831"/>
      <c r="AQ358" s="1831"/>
      <c r="AR358" s="1831"/>
      <c r="AS358" s="1831"/>
      <c r="AT358" s="1831"/>
      <c r="AU358" s="1831"/>
      <c r="AV358" s="1831"/>
      <c r="AW358" s="1831"/>
      <c r="AX358" s="1831"/>
      <c r="AY358" s="1831"/>
      <c r="AZ358" s="1831"/>
      <c r="BA358" s="1831"/>
      <c r="BB358" s="1831"/>
      <c r="BC358" s="1831"/>
      <c r="BD358" s="1831"/>
      <c r="BE358" s="1831"/>
      <c r="BF358" s="1831"/>
      <c r="BG358" s="1644"/>
    </row>
    <row customHeight="1" ht="11.25">
      <c r="A359" s="1175" t="s">
        <v>1036</v>
      </c>
      <c r="B359" s="1175"/>
      <c r="C359" s="1175"/>
      <c r="D359" s="1169"/>
      <c r="E359" s="1179"/>
      <c r="F359" s="1837"/>
      <c r="G359" s="1838"/>
      <c r="H359" s="2543" t="s">
        <v>1225</v>
      </c>
      <c r="I359" s="2544"/>
      <c r="J359" s="2513"/>
      <c r="K359" s="2545"/>
      <c r="L359" s="2135"/>
      <c r="M359" s="2136"/>
      <c r="N359" s="1184"/>
      <c r="O359" s="1185"/>
      <c r="P359" s="1177" t="s">
        <v>1083</v>
      </c>
      <c r="Q359" s="1185"/>
      <c r="R359" s="1185"/>
      <c r="S359" s="1185"/>
      <c r="T359" s="1185"/>
      <c r="U359" s="1185"/>
      <c r="V359" s="1185"/>
      <c r="W359" s="1185"/>
      <c r="X359" s="1185"/>
      <c r="Y359" s="1185"/>
      <c r="Z359" s="1185"/>
      <c r="AA359" s="1185"/>
      <c r="AB359" s="1185"/>
      <c r="AC359" s="1185"/>
      <c r="AD359" s="1185"/>
      <c r="AE359" s="1192"/>
      <c r="AF359" s="2534"/>
      <c r="AG359" s="2535"/>
      <c r="AH359" s="2535"/>
      <c r="AI359" s="2724"/>
      <c r="AJ359" s="2535"/>
      <c r="AK359" s="2535"/>
      <c r="AL359" s="1994"/>
      <c r="AM359" s="1831"/>
      <c r="AN359" s="1831"/>
      <c r="AO359" s="1831"/>
      <c r="AP359" s="1831"/>
      <c r="AQ359" s="1831"/>
      <c r="AR359" s="1831"/>
      <c r="AS359" s="1831"/>
      <c r="AT359" s="1831"/>
      <c r="AU359" s="1831"/>
      <c r="AV359" s="1831"/>
      <c r="AW359" s="1831"/>
      <c r="AX359" s="1831"/>
      <c r="AY359" s="1831"/>
      <c r="AZ359" s="1831"/>
      <c r="BA359" s="1831"/>
      <c r="BB359" s="1831"/>
      <c r="BC359" s="1831"/>
      <c r="BD359" s="1831"/>
      <c r="BE359" s="1831"/>
      <c r="BF359" s="1831"/>
      <c r="BG359" s="1644"/>
    </row>
    <row customHeight="1" ht="11.25">
      <c r="A360" s="1175" t="s">
        <v>1036</v>
      </c>
      <c r="B360" s="1175" t="s">
        <v>1165</v>
      </c>
      <c r="C360" s="1175"/>
      <c r="D360" s="1169"/>
      <c r="E360" s="1179"/>
      <c r="F360" s="1837"/>
      <c r="G360" s="692" t="s">
        <v>104</v>
      </c>
      <c r="H360" s="2543" t="s">
        <v>1229</v>
      </c>
      <c r="I360" s="2544" t="s">
        <v>1167</v>
      </c>
      <c r="J360" s="2513" t="s">
        <v>1173</v>
      </c>
      <c r="K360" s="2545" t="s">
        <v>1230</v>
      </c>
      <c r="L360" s="2135" t="s">
        <v>19</v>
      </c>
      <c r="M360" s="2136"/>
      <c r="N360" s="1992"/>
      <c r="O360" s="1186" t="s">
        <v>391</v>
      </c>
      <c r="P360" s="1187"/>
      <c r="Q360" s="1187"/>
      <c r="R360" s="1187"/>
      <c r="S360" s="1187"/>
      <c r="T360" s="1187"/>
      <c r="U360" s="1187"/>
      <c r="V360" s="1187"/>
      <c r="W360" s="1187"/>
      <c r="X360" s="1187"/>
      <c r="Y360" s="1187"/>
      <c r="Z360" s="1187"/>
      <c r="AA360" s="1187"/>
      <c r="AB360" s="1187"/>
      <c r="AC360" s="1187"/>
      <c r="AD360" s="1187"/>
      <c r="AE360" s="1187"/>
      <c r="AF360" s="2534">
        <v>1</v>
      </c>
      <c r="AG360" s="2535" t="s">
        <v>1094</v>
      </c>
      <c r="AH360" s="2535" t="s">
        <v>1085</v>
      </c>
      <c r="AI360" s="2905"/>
      <c r="AJ360" s="2535" t="s">
        <v>1089</v>
      </c>
      <c r="AK360" s="2535" t="s">
        <v>1089</v>
      </c>
      <c r="AL360" s="1994"/>
      <c r="AM360" s="1831"/>
      <c r="AN360" s="1831"/>
      <c r="AO360" s="1831"/>
      <c r="AP360" s="1831"/>
      <c r="AQ360" s="1831"/>
      <c r="AR360" s="1831"/>
      <c r="AS360" s="1831"/>
      <c r="AT360" s="1831"/>
      <c r="AU360" s="1831"/>
      <c r="AV360" s="1831"/>
      <c r="AW360" s="1831"/>
      <c r="AX360" s="1831"/>
      <c r="AY360" s="1831"/>
      <c r="AZ360" s="1831"/>
      <c r="BA360" s="1831"/>
      <c r="BB360" s="1831"/>
      <c r="BC360" s="1831"/>
      <c r="BD360" s="1831"/>
      <c r="BE360" s="1831"/>
      <c r="BF360" s="1831"/>
      <c r="BG360" s="1644"/>
    </row>
    <row customHeight="1" ht="11.25">
      <c r="A361" s="1175" t="s">
        <v>1036</v>
      </c>
      <c r="B361" s="1175"/>
      <c r="C361" s="1175"/>
      <c r="D361" s="1169"/>
      <c r="E361" s="1179"/>
      <c r="F361" s="1837"/>
      <c r="G361" s="1838"/>
      <c r="H361" s="2543" t="s">
        <v>1227</v>
      </c>
      <c r="I361" s="2544"/>
      <c r="J361" s="2513"/>
      <c r="K361" s="2545"/>
      <c r="L361" s="2135"/>
      <c r="M361" s="2136"/>
      <c r="N361" s="2536"/>
      <c r="O361" s="2537">
        <v>1</v>
      </c>
      <c r="P361" s="2538" t="s">
        <v>63</v>
      </c>
      <c r="Q361" s="2725" t="s">
        <v>1096</v>
      </c>
      <c r="R361" s="2726" t="s">
        <v>1097</v>
      </c>
      <c r="S361" s="2726" t="s">
        <v>106</v>
      </c>
      <c r="T361" s="2726" t="s">
        <v>106</v>
      </c>
      <c r="U361" s="2726" t="s">
        <v>107</v>
      </c>
      <c r="V361" s="2726" t="s">
        <v>1077</v>
      </c>
      <c r="W361" s="2726" t="s">
        <v>1078</v>
      </c>
      <c r="X361" s="2726" t="s">
        <v>1098</v>
      </c>
      <c r="Y361" s="2726" t="s">
        <v>1099</v>
      </c>
      <c r="Z361" s="1184"/>
      <c r="AA361" s="1185"/>
      <c r="AB361" s="1185"/>
      <c r="AC361" s="1189"/>
      <c r="AD361" s="1189"/>
      <c r="AE361" s="1190"/>
      <c r="AF361" s="2534"/>
      <c r="AG361" s="2535"/>
      <c r="AH361" s="2535"/>
      <c r="AI361" s="2905"/>
      <c r="AJ361" s="2535"/>
      <c r="AK361" s="2535"/>
      <c r="AL361" s="1994"/>
      <c r="AM361" s="1831"/>
      <c r="AN361" s="1831"/>
      <c r="AO361" s="1831"/>
      <c r="AP361" s="1831"/>
      <c r="AQ361" s="1831"/>
      <c r="AR361" s="1831"/>
      <c r="AS361" s="1831"/>
      <c r="AT361" s="1831"/>
      <c r="AU361" s="1831"/>
      <c r="AV361" s="1831"/>
      <c r="AW361" s="1831"/>
      <c r="AX361" s="1831"/>
      <c r="AY361" s="1831"/>
      <c r="AZ361" s="1831"/>
      <c r="BA361" s="1831"/>
      <c r="BB361" s="1831"/>
      <c r="BC361" s="1831"/>
      <c r="BD361" s="1831"/>
      <c r="BE361" s="1831"/>
      <c r="BF361" s="1831"/>
      <c r="BG361" s="1644"/>
    </row>
    <row customHeight="1" ht="11.25">
      <c r="A362" s="1175" t="s">
        <v>1036</v>
      </c>
      <c r="B362" s="1175"/>
      <c r="C362" s="1175"/>
      <c r="D362" s="1169"/>
      <c r="E362" s="1179"/>
      <c r="F362" s="1837"/>
      <c r="G362" s="1838"/>
      <c r="H362" s="2543" t="s">
        <v>1227</v>
      </c>
      <c r="I362" s="2544"/>
      <c r="J362" s="2513"/>
      <c r="K362" s="2545"/>
      <c r="L362" s="2135"/>
      <c r="M362" s="2136"/>
      <c r="N362" s="2536"/>
      <c r="O362" s="2537"/>
      <c r="P362" s="2539"/>
      <c r="Q362" s="2725"/>
      <c r="R362" s="2541"/>
      <c r="S362" s="2542"/>
      <c r="T362" s="2541"/>
      <c r="U362" s="2541"/>
      <c r="V362" s="2541"/>
      <c r="W362" s="2541"/>
      <c r="X362" s="2541"/>
      <c r="Y362" s="2541"/>
      <c r="Z362" s="1836"/>
      <c r="AA362" s="1802">
        <v>1</v>
      </c>
      <c r="AB362" s="1188" t="s">
        <v>1091</v>
      </c>
      <c r="AC362" s="1178">
        <v>25492.78</v>
      </c>
      <c r="AD362" s="1188" t="str">
        <f>AB362</f>
        <v>  Прочие собственные средства</v>
      </c>
      <c r="AE362" s="1178">
        <v>7535.37</v>
      </c>
      <c r="AF362" s="2534"/>
      <c r="AG362" s="2535"/>
      <c r="AH362" s="2535"/>
      <c r="AI362" s="2905"/>
      <c r="AJ362" s="2535"/>
      <c r="AK362" s="2535"/>
      <c r="AL362" s="1994"/>
      <c r="AM362" s="1831"/>
      <c r="AN362" s="1831"/>
      <c r="AO362" s="1831"/>
      <c r="AP362" s="1831"/>
      <c r="AQ362" s="1831"/>
      <c r="AR362" s="1831"/>
      <c r="AS362" s="1831"/>
      <c r="AT362" s="1831"/>
      <c r="AU362" s="1831"/>
      <c r="AV362" s="1831"/>
      <c r="AW362" s="1831"/>
      <c r="AX362" s="1831"/>
      <c r="AY362" s="1831"/>
      <c r="AZ362" s="1831"/>
      <c r="BA362" s="1831"/>
      <c r="BB362" s="1831"/>
      <c r="BC362" s="1831"/>
      <c r="BD362" s="1831"/>
      <c r="BE362" s="1831"/>
      <c r="BF362" s="1831"/>
      <c r="BG362" s="1644"/>
    </row>
    <row customHeight="1" ht="11.25">
      <c r="A363" s="1175" t="s">
        <v>1036</v>
      </c>
      <c r="B363" s="1175"/>
      <c r="C363" s="1175"/>
      <c r="D363" s="1169"/>
      <c r="E363" s="1179"/>
      <c r="F363" s="1838"/>
      <c r="G363" s="1838"/>
      <c r="H363" s="1838"/>
      <c r="I363" s="1838"/>
      <c r="J363" s="1838"/>
      <c r="K363" s="1838"/>
      <c r="L363" s="1838"/>
      <c r="M363" s="1838"/>
      <c r="N363" s="1838"/>
      <c r="O363" s="1838"/>
      <c r="P363" s="1838"/>
      <c r="Q363" s="1838"/>
      <c r="R363" s="1838"/>
      <c r="S363" s="1838"/>
      <c r="T363" s="1838"/>
      <c r="U363" s="1838"/>
      <c r="V363" s="1838"/>
      <c r="W363" s="1838"/>
      <c r="X363" s="1838"/>
      <c r="Y363" s="1838"/>
      <c r="Z363" s="692" t="s">
        <v>104</v>
      </c>
      <c r="AA363" s="1822" t="s">
        <v>103</v>
      </c>
      <c r="AB363" s="1188" t="s">
        <v>1164</v>
      </c>
      <c r="AC363" s="1178">
        <v>0</v>
      </c>
      <c r="AD363" s="1188" t="str">
        <f>AB363</f>
        <v>  За счет платы за технологическое присоединение</v>
      </c>
      <c r="AE363" s="1178">
        <v>19446.03</v>
      </c>
      <c r="AF363" s="2095"/>
      <c r="AG363" s="1767"/>
      <c r="AH363" s="1767"/>
      <c r="AI363" s="2909"/>
      <c r="AJ363" s="1767"/>
      <c r="AK363" s="1993"/>
      <c r="AL363" s="1994"/>
      <c r="AM363" s="1831"/>
      <c r="AN363" s="1831"/>
      <c r="AO363" s="1831"/>
      <c r="AP363" s="1831"/>
      <c r="AQ363" s="1831"/>
      <c r="AR363" s="1831"/>
      <c r="AS363" s="1831"/>
      <c r="AT363" s="1831"/>
      <c r="AU363" s="1831"/>
      <c r="AV363" s="1831"/>
      <c r="AW363" s="1831"/>
      <c r="AX363" s="1831"/>
      <c r="AY363" s="1831"/>
      <c r="AZ363" s="1831"/>
      <c r="BA363" s="1831"/>
      <c r="BB363" s="1831"/>
      <c r="BC363" s="1831"/>
      <c r="BD363" s="1831"/>
      <c r="BE363" s="1831"/>
      <c r="BF363" s="1831"/>
      <c r="BG363" s="1644"/>
    </row>
    <row customHeight="1" ht="11.25">
      <c r="A364" s="1175" t="s">
        <v>1036</v>
      </c>
      <c r="B364" s="1175"/>
      <c r="C364" s="1175"/>
      <c r="D364" s="1169"/>
      <c r="E364" s="1179"/>
      <c r="F364" s="1837"/>
      <c r="G364" s="1838"/>
      <c r="H364" s="2543" t="s">
        <v>1227</v>
      </c>
      <c r="I364" s="2544"/>
      <c r="J364" s="2513"/>
      <c r="K364" s="2545"/>
      <c r="L364" s="2135"/>
      <c r="M364" s="2136"/>
      <c r="N364" s="2536"/>
      <c r="O364" s="2537"/>
      <c r="P364" s="2540"/>
      <c r="Q364" s="2725"/>
      <c r="R364" s="2541"/>
      <c r="S364" s="2542"/>
      <c r="T364" s="2541"/>
      <c r="U364" s="2541"/>
      <c r="V364" s="2541"/>
      <c r="W364" s="2541"/>
      <c r="X364" s="2541"/>
      <c r="Y364" s="2541"/>
      <c r="Z364" s="1184"/>
      <c r="AA364" s="1185"/>
      <c r="AB364" s="1250" t="s">
        <v>1082</v>
      </c>
      <c r="AC364" s="1189"/>
      <c r="AD364" s="1189"/>
      <c r="AE364" s="1191"/>
      <c r="AF364" s="2534"/>
      <c r="AG364" s="2535"/>
      <c r="AH364" s="2535"/>
      <c r="AI364" s="2905"/>
      <c r="AJ364" s="2535"/>
      <c r="AK364" s="2535"/>
      <c r="AL364" s="1994"/>
      <c r="AM364" s="1831"/>
      <c r="AN364" s="1831"/>
      <c r="AO364" s="1831"/>
      <c r="AP364" s="1831"/>
      <c r="AQ364" s="1831"/>
      <c r="AR364" s="1831"/>
      <c r="AS364" s="1831"/>
      <c r="AT364" s="1831"/>
      <c r="AU364" s="1831"/>
      <c r="AV364" s="1831"/>
      <c r="AW364" s="1831"/>
      <c r="AX364" s="1831"/>
      <c r="AY364" s="1831"/>
      <c r="AZ364" s="1831"/>
      <c r="BA364" s="1831"/>
      <c r="BB364" s="1831"/>
      <c r="BC364" s="1831"/>
      <c r="BD364" s="1831"/>
      <c r="BE364" s="1831"/>
      <c r="BF364" s="1831"/>
      <c r="BG364" s="1644"/>
    </row>
    <row customHeight="1" ht="11.25">
      <c r="A365" s="1175" t="s">
        <v>1036</v>
      </c>
      <c r="B365" s="1175"/>
      <c r="C365" s="1175"/>
      <c r="D365" s="1169"/>
      <c r="E365" s="1179"/>
      <c r="F365" s="1837"/>
      <c r="G365" s="1838"/>
      <c r="H365" s="2543" t="s">
        <v>1227</v>
      </c>
      <c r="I365" s="2544"/>
      <c r="J365" s="2513"/>
      <c r="K365" s="2545"/>
      <c r="L365" s="2135"/>
      <c r="M365" s="2136"/>
      <c r="N365" s="1184"/>
      <c r="O365" s="1185"/>
      <c r="P365" s="1177" t="s">
        <v>1083</v>
      </c>
      <c r="Q365" s="1185"/>
      <c r="R365" s="1185"/>
      <c r="S365" s="1185"/>
      <c r="T365" s="1185"/>
      <c r="U365" s="1185"/>
      <c r="V365" s="1185"/>
      <c r="W365" s="1185"/>
      <c r="X365" s="1185"/>
      <c r="Y365" s="1185"/>
      <c r="Z365" s="1185"/>
      <c r="AA365" s="1185"/>
      <c r="AB365" s="1185"/>
      <c r="AC365" s="1185"/>
      <c r="AD365" s="1185"/>
      <c r="AE365" s="1192"/>
      <c r="AF365" s="2534"/>
      <c r="AG365" s="2535"/>
      <c r="AH365" s="2535"/>
      <c r="AI365" s="2905"/>
      <c r="AJ365" s="2535"/>
      <c r="AK365" s="2535"/>
      <c r="AL365" s="1994"/>
      <c r="AM365" s="1831"/>
      <c r="AN365" s="1831"/>
      <c r="AO365" s="1831"/>
      <c r="AP365" s="1831"/>
      <c r="AQ365" s="1831"/>
      <c r="AR365" s="1831"/>
      <c r="AS365" s="1831"/>
      <c r="AT365" s="1831"/>
      <c r="AU365" s="1831"/>
      <c r="AV365" s="1831"/>
      <c r="AW365" s="1831"/>
      <c r="AX365" s="1831"/>
      <c r="AY365" s="1831"/>
      <c r="AZ365" s="1831"/>
      <c r="BA365" s="1831"/>
      <c r="BB365" s="1831"/>
      <c r="BC365" s="1831"/>
      <c r="BD365" s="1831"/>
      <c r="BE365" s="1831"/>
      <c r="BF365" s="1831"/>
      <c r="BG365" s="1644"/>
    </row>
    <row customHeight="1" ht="11.25">
      <c r="A366" s="1175" t="s">
        <v>1036</v>
      </c>
      <c r="B366" s="1175" t="s">
        <v>22</v>
      </c>
      <c r="C366" s="1175"/>
      <c r="D366" s="1169"/>
      <c r="E366" s="1179"/>
      <c r="F366" s="1837"/>
      <c r="G366" s="692" t="s">
        <v>104</v>
      </c>
      <c r="H366" s="2543" t="s">
        <v>1231</v>
      </c>
      <c r="I366" s="2544" t="s">
        <v>1147</v>
      </c>
      <c r="J366" s="2727" t="s">
        <v>22</v>
      </c>
      <c r="K366" s="2545" t="s">
        <v>1232</v>
      </c>
      <c r="L366" s="2135" t="s">
        <v>19</v>
      </c>
      <c r="M366" s="2136"/>
      <c r="N366" s="1992"/>
      <c r="O366" s="1186" t="s">
        <v>391</v>
      </c>
      <c r="P366" s="1187"/>
      <c r="Q366" s="1187"/>
      <c r="R366" s="1187"/>
      <c r="S366" s="1187"/>
      <c r="T366" s="1187"/>
      <c r="U366" s="1187"/>
      <c r="V366" s="1187"/>
      <c r="W366" s="1187"/>
      <c r="X366" s="1187"/>
      <c r="Y366" s="1187"/>
      <c r="Z366" s="1187"/>
      <c r="AA366" s="1187"/>
      <c r="AB366" s="1187"/>
      <c r="AC366" s="1187"/>
      <c r="AD366" s="1187"/>
      <c r="AE366" s="1187"/>
      <c r="AF366" s="2534">
        <v>1</v>
      </c>
      <c r="AG366" s="2535" t="s">
        <v>1072</v>
      </c>
      <c r="AH366" s="2535" t="s">
        <v>1085</v>
      </c>
      <c r="AI366" s="2905"/>
      <c r="AJ366" s="2535" t="s">
        <v>1089</v>
      </c>
      <c r="AK366" s="2535" t="s">
        <v>1089</v>
      </c>
      <c r="AL366" s="1994"/>
      <c r="AM366" s="1831"/>
      <c r="AN366" s="1831"/>
      <c r="AO366" s="1831"/>
      <c r="AP366" s="1831"/>
      <c r="AQ366" s="1831"/>
      <c r="AR366" s="1831"/>
      <c r="AS366" s="1831"/>
      <c r="AT366" s="1831"/>
      <c r="AU366" s="1831"/>
      <c r="AV366" s="1831"/>
      <c r="AW366" s="1831"/>
      <c r="AX366" s="1831"/>
      <c r="AY366" s="1831"/>
      <c r="AZ366" s="1831"/>
      <c r="BA366" s="1831"/>
      <c r="BB366" s="1831"/>
      <c r="BC366" s="1831"/>
      <c r="BD366" s="1831"/>
      <c r="BE366" s="1831"/>
      <c r="BF366" s="1831"/>
      <c r="BG366" s="1644"/>
    </row>
    <row customHeight="1" ht="11.25">
      <c r="A367" s="1175" t="s">
        <v>1036</v>
      </c>
      <c r="B367" s="1175"/>
      <c r="C367" s="1175"/>
      <c r="D367" s="1169"/>
      <c r="E367" s="1179"/>
      <c r="F367" s="1837"/>
      <c r="G367" s="1838"/>
      <c r="H367" s="2543" t="s">
        <v>1229</v>
      </c>
      <c r="I367" s="2544"/>
      <c r="J367" s="2727"/>
      <c r="K367" s="2545"/>
      <c r="L367" s="2135"/>
      <c r="M367" s="2136"/>
      <c r="N367" s="2536"/>
      <c r="O367" s="2537">
        <v>1</v>
      </c>
      <c r="P367" s="2538" t="s">
        <v>19</v>
      </c>
      <c r="Q367" s="2541" t="s">
        <v>22</v>
      </c>
      <c r="R367" s="2541" t="s">
        <v>22</v>
      </c>
      <c r="S367" s="2541" t="s">
        <v>22</v>
      </c>
      <c r="T367" s="2541" t="s">
        <v>22</v>
      </c>
      <c r="U367" s="2541" t="s">
        <v>22</v>
      </c>
      <c r="V367" s="2541" t="s">
        <v>22</v>
      </c>
      <c r="W367" s="2541" t="s">
        <v>22</v>
      </c>
      <c r="X367" s="2541" t="s">
        <v>22</v>
      </c>
      <c r="Y367" s="2541"/>
      <c r="Z367" s="1184"/>
      <c r="AA367" s="1185"/>
      <c r="AB367" s="1185"/>
      <c r="AC367" s="1189"/>
      <c r="AD367" s="1189"/>
      <c r="AE367" s="1190"/>
      <c r="AF367" s="2534"/>
      <c r="AG367" s="2535"/>
      <c r="AH367" s="2535"/>
      <c r="AI367" s="2905"/>
      <c r="AJ367" s="2535"/>
      <c r="AK367" s="2535"/>
      <c r="AL367" s="1994"/>
      <c r="AM367" s="1831"/>
      <c r="AN367" s="1831"/>
      <c r="AO367" s="1831"/>
      <c r="AP367" s="1831"/>
      <c r="AQ367" s="1831"/>
      <c r="AR367" s="1831"/>
      <c r="AS367" s="1831"/>
      <c r="AT367" s="1831"/>
      <c r="AU367" s="1831"/>
      <c r="AV367" s="1831"/>
      <c r="AW367" s="1831"/>
      <c r="AX367" s="1831"/>
      <c r="AY367" s="1831"/>
      <c r="AZ367" s="1831"/>
      <c r="BA367" s="1831"/>
      <c r="BB367" s="1831"/>
      <c r="BC367" s="1831"/>
      <c r="BD367" s="1831"/>
      <c r="BE367" s="1831"/>
      <c r="BF367" s="1831"/>
      <c r="BG367" s="1644"/>
    </row>
    <row customHeight="1" ht="11.25">
      <c r="A368" s="1175" t="s">
        <v>1036</v>
      </c>
      <c r="B368" s="1175"/>
      <c r="C368" s="1175"/>
      <c r="D368" s="1169"/>
      <c r="E368" s="1179"/>
      <c r="F368" s="1837"/>
      <c r="G368" s="1838"/>
      <c r="H368" s="2543" t="s">
        <v>1229</v>
      </c>
      <c r="I368" s="2544"/>
      <c r="J368" s="2727"/>
      <c r="K368" s="2545"/>
      <c r="L368" s="2135"/>
      <c r="M368" s="2136"/>
      <c r="N368" s="2536"/>
      <c r="O368" s="2537"/>
      <c r="P368" s="2539"/>
      <c r="Q368" s="2541"/>
      <c r="R368" s="2541"/>
      <c r="S368" s="2542"/>
      <c r="T368" s="2541"/>
      <c r="U368" s="2541"/>
      <c r="V368" s="2541"/>
      <c r="W368" s="2541"/>
      <c r="X368" s="2541"/>
      <c r="Y368" s="2541"/>
      <c r="Z368" s="1836"/>
      <c r="AA368" s="1802">
        <v>1</v>
      </c>
      <c r="AB368" s="1188" t="s">
        <v>1081</v>
      </c>
      <c r="AC368" s="1178">
        <v>9000</v>
      </c>
      <c r="AD368" s="1188" t="str">
        <f>AB368</f>
        <v>      Амортизационные отчисления с выделением результатов переоценки основных средств и нематериальных активов</v>
      </c>
      <c r="AE368" s="1178">
        <v>0</v>
      </c>
      <c r="AF368" s="2534"/>
      <c r="AG368" s="2535"/>
      <c r="AH368" s="2535"/>
      <c r="AI368" s="2905"/>
      <c r="AJ368" s="2535"/>
      <c r="AK368" s="2535"/>
      <c r="AL368" s="1994"/>
      <c r="AM368" s="1831"/>
      <c r="AN368" s="1831"/>
      <c r="AO368" s="1831"/>
      <c r="AP368" s="1831"/>
      <c r="AQ368" s="1831"/>
      <c r="AR368" s="1831"/>
      <c r="AS368" s="1831"/>
      <c r="AT368" s="1831"/>
      <c r="AU368" s="1831"/>
      <c r="AV368" s="1831"/>
      <c r="AW368" s="1831"/>
      <c r="AX368" s="1831"/>
      <c r="AY368" s="1831"/>
      <c r="AZ368" s="1831"/>
      <c r="BA368" s="1831"/>
      <c r="BB368" s="1831"/>
      <c r="BC368" s="1831"/>
      <c r="BD368" s="1831"/>
      <c r="BE368" s="1831"/>
      <c r="BF368" s="1831"/>
      <c r="BG368" s="1644"/>
    </row>
    <row customHeight="1" ht="11.25">
      <c r="A369" s="1175" t="s">
        <v>1036</v>
      </c>
      <c r="B369" s="1175"/>
      <c r="C369" s="1175"/>
      <c r="D369" s="1169"/>
      <c r="E369" s="1179"/>
      <c r="F369" s="1837"/>
      <c r="G369" s="1838"/>
      <c r="H369" s="2543" t="s">
        <v>1229</v>
      </c>
      <c r="I369" s="2544"/>
      <c r="J369" s="2727"/>
      <c r="K369" s="2545"/>
      <c r="L369" s="2135"/>
      <c r="M369" s="2136"/>
      <c r="N369" s="2536"/>
      <c r="O369" s="2537"/>
      <c r="P369" s="2540"/>
      <c r="Q369" s="2541"/>
      <c r="R369" s="2541"/>
      <c r="S369" s="2542"/>
      <c r="T369" s="2541"/>
      <c r="U369" s="2541"/>
      <c r="V369" s="2541"/>
      <c r="W369" s="2541"/>
      <c r="X369" s="2541"/>
      <c r="Y369" s="2541"/>
      <c r="Z369" s="1184"/>
      <c r="AA369" s="1185"/>
      <c r="AB369" s="1250" t="s">
        <v>1082</v>
      </c>
      <c r="AC369" s="1189"/>
      <c r="AD369" s="1189"/>
      <c r="AE369" s="1191"/>
      <c r="AF369" s="2534"/>
      <c r="AG369" s="2535"/>
      <c r="AH369" s="2535"/>
      <c r="AI369" s="2905"/>
      <c r="AJ369" s="2535"/>
      <c r="AK369" s="2535"/>
      <c r="AL369" s="1994"/>
      <c r="AM369" s="1831"/>
      <c r="AN369" s="1831"/>
      <c r="AO369" s="1831"/>
      <c r="AP369" s="1831"/>
      <c r="AQ369" s="1831"/>
      <c r="AR369" s="1831"/>
      <c r="AS369" s="1831"/>
      <c r="AT369" s="1831"/>
      <c r="AU369" s="1831"/>
      <c r="AV369" s="1831"/>
      <c r="AW369" s="1831"/>
      <c r="AX369" s="1831"/>
      <c r="AY369" s="1831"/>
      <c r="AZ369" s="1831"/>
      <c r="BA369" s="1831"/>
      <c r="BB369" s="1831"/>
      <c r="BC369" s="1831"/>
      <c r="BD369" s="1831"/>
      <c r="BE369" s="1831"/>
      <c r="BF369" s="1831"/>
      <c r="BG369" s="1644"/>
    </row>
    <row customHeight="1" ht="11.25">
      <c r="A370" s="1175" t="s">
        <v>1036</v>
      </c>
      <c r="B370" s="1175"/>
      <c r="C370" s="1175"/>
      <c r="D370" s="1169"/>
      <c r="E370" s="1179"/>
      <c r="F370" s="1837"/>
      <c r="G370" s="1838"/>
      <c r="H370" s="2543" t="s">
        <v>1229</v>
      </c>
      <c r="I370" s="2544"/>
      <c r="J370" s="2727"/>
      <c r="K370" s="2545"/>
      <c r="L370" s="2135"/>
      <c r="M370" s="2136"/>
      <c r="N370" s="1184"/>
      <c r="O370" s="1185"/>
      <c r="P370" s="1177" t="s">
        <v>1083</v>
      </c>
      <c r="Q370" s="1185"/>
      <c r="R370" s="1185"/>
      <c r="S370" s="1185"/>
      <c r="T370" s="1185"/>
      <c r="U370" s="1185"/>
      <c r="V370" s="1185"/>
      <c r="W370" s="1185"/>
      <c r="X370" s="1185"/>
      <c r="Y370" s="1185"/>
      <c r="Z370" s="1185"/>
      <c r="AA370" s="1185"/>
      <c r="AB370" s="1185"/>
      <c r="AC370" s="1185"/>
      <c r="AD370" s="1185"/>
      <c r="AE370" s="1192"/>
      <c r="AF370" s="2534"/>
      <c r="AG370" s="2535"/>
      <c r="AH370" s="2535"/>
      <c r="AI370" s="2905"/>
      <c r="AJ370" s="2535"/>
      <c r="AK370" s="2535"/>
      <c r="AL370" s="1994"/>
      <c r="AM370" s="1831"/>
      <c r="AN370" s="1831"/>
      <c r="AO370" s="1831"/>
      <c r="AP370" s="1831"/>
      <c r="AQ370" s="1831"/>
      <c r="AR370" s="1831"/>
      <c r="AS370" s="1831"/>
      <c r="AT370" s="1831"/>
      <c r="AU370" s="1831"/>
      <c r="AV370" s="1831"/>
      <c r="AW370" s="1831"/>
      <c r="AX370" s="1831"/>
      <c r="AY370" s="1831"/>
      <c r="AZ370" s="1831"/>
      <c r="BA370" s="1831"/>
      <c r="BB370" s="1831"/>
      <c r="BC370" s="1831"/>
      <c r="BD370" s="1831"/>
      <c r="BE370" s="1831"/>
      <c r="BF370" s="1831"/>
      <c r="BG370" s="1644"/>
    </row>
    <row customHeight="1" ht="11.25">
      <c r="A371" s="1175" t="s">
        <v>1036</v>
      </c>
      <c r="B371" s="1175" t="s">
        <v>22</v>
      </c>
      <c r="C371" s="1175"/>
      <c r="D371" s="1169"/>
      <c r="E371" s="1179"/>
      <c r="F371" s="1837"/>
      <c r="G371" s="692" t="s">
        <v>104</v>
      </c>
      <c r="H371" s="2543" t="s">
        <v>1233</v>
      </c>
      <c r="I371" s="2544" t="s">
        <v>1137</v>
      </c>
      <c r="J371" s="2727" t="s">
        <v>22</v>
      </c>
      <c r="K371" s="2545" t="s">
        <v>1234</v>
      </c>
      <c r="L371" s="2135" t="s">
        <v>19</v>
      </c>
      <c r="M371" s="2136"/>
      <c r="N371" s="1992"/>
      <c r="O371" s="1186" t="s">
        <v>391</v>
      </c>
      <c r="P371" s="1187"/>
      <c r="Q371" s="1187"/>
      <c r="R371" s="1187"/>
      <c r="S371" s="1187"/>
      <c r="T371" s="1187"/>
      <c r="U371" s="1187"/>
      <c r="V371" s="1187"/>
      <c r="W371" s="1187"/>
      <c r="X371" s="1187"/>
      <c r="Y371" s="1187"/>
      <c r="Z371" s="1187"/>
      <c r="AA371" s="1187"/>
      <c r="AB371" s="1187"/>
      <c r="AC371" s="1187"/>
      <c r="AD371" s="1187"/>
      <c r="AE371" s="1187"/>
      <c r="AF371" s="2534">
        <v>1</v>
      </c>
      <c r="AG371" s="2535" t="s">
        <v>1072</v>
      </c>
      <c r="AH371" s="2535" t="s">
        <v>1085</v>
      </c>
      <c r="AI371" s="2534">
        <v>1</v>
      </c>
      <c r="AJ371" s="2535" t="s">
        <v>1235</v>
      </c>
      <c r="AK371" s="2535" t="s">
        <v>1085</v>
      </c>
      <c r="AL371" s="1994"/>
      <c r="AM371" s="1831"/>
      <c r="AN371" s="1831"/>
      <c r="AO371" s="1831"/>
      <c r="AP371" s="1831"/>
      <c r="AQ371" s="1831"/>
      <c r="AR371" s="1831"/>
      <c r="AS371" s="1831"/>
      <c r="AT371" s="1831"/>
      <c r="AU371" s="1831"/>
      <c r="AV371" s="1831"/>
      <c r="AW371" s="1831"/>
      <c r="AX371" s="1831"/>
      <c r="AY371" s="1831"/>
      <c r="AZ371" s="1831"/>
      <c r="BA371" s="1831"/>
      <c r="BB371" s="1831"/>
      <c r="BC371" s="1831"/>
      <c r="BD371" s="1831"/>
      <c r="BE371" s="1831"/>
      <c r="BF371" s="1831"/>
      <c r="BG371" s="1644"/>
    </row>
    <row customHeight="1" ht="11.25">
      <c r="A372" s="1175" t="s">
        <v>1036</v>
      </c>
      <c r="B372" s="1175"/>
      <c r="C372" s="1175"/>
      <c r="D372" s="1169"/>
      <c r="E372" s="1179"/>
      <c r="F372" s="1837"/>
      <c r="G372" s="1838"/>
      <c r="H372" s="2543" t="s">
        <v>1231</v>
      </c>
      <c r="I372" s="2544"/>
      <c r="J372" s="2727"/>
      <c r="K372" s="2545"/>
      <c r="L372" s="2135"/>
      <c r="M372" s="2136"/>
      <c r="N372" s="2536"/>
      <c r="O372" s="2537">
        <v>1</v>
      </c>
      <c r="P372" s="2538" t="s">
        <v>63</v>
      </c>
      <c r="Q372" s="2725" t="s">
        <v>1075</v>
      </c>
      <c r="R372" s="2726" t="s">
        <v>1076</v>
      </c>
      <c r="S372" s="2726" t="s">
        <v>106</v>
      </c>
      <c r="T372" s="2726" t="s">
        <v>106</v>
      </c>
      <c r="U372" s="2726" t="s">
        <v>107</v>
      </c>
      <c r="V372" s="2726" t="s">
        <v>1077</v>
      </c>
      <c r="W372" s="2726" t="s">
        <v>1078</v>
      </c>
      <c r="X372" s="2726" t="s">
        <v>1079</v>
      </c>
      <c r="Y372" s="2726" t="s">
        <v>1080</v>
      </c>
      <c r="Z372" s="1184"/>
      <c r="AA372" s="1185"/>
      <c r="AB372" s="1185"/>
      <c r="AC372" s="1189"/>
      <c r="AD372" s="1189"/>
      <c r="AE372" s="1190"/>
      <c r="AF372" s="2534"/>
      <c r="AG372" s="2535"/>
      <c r="AH372" s="2535"/>
      <c r="AI372" s="2534"/>
      <c r="AJ372" s="2535"/>
      <c r="AK372" s="2535"/>
      <c r="AL372" s="1994"/>
      <c r="AM372" s="1831"/>
      <c r="AN372" s="1831"/>
      <c r="AO372" s="1831"/>
      <c r="AP372" s="1831"/>
      <c r="AQ372" s="1831"/>
      <c r="AR372" s="1831"/>
      <c r="AS372" s="1831"/>
      <c r="AT372" s="1831"/>
      <c r="AU372" s="1831"/>
      <c r="AV372" s="1831"/>
      <c r="AW372" s="1831"/>
      <c r="AX372" s="1831"/>
      <c r="AY372" s="1831"/>
      <c r="AZ372" s="1831"/>
      <c r="BA372" s="1831"/>
      <c r="BB372" s="1831"/>
      <c r="BC372" s="1831"/>
      <c r="BD372" s="1831"/>
      <c r="BE372" s="1831"/>
      <c r="BF372" s="1831"/>
      <c r="BG372" s="1644"/>
    </row>
    <row customHeight="1" ht="11.25">
      <c r="A373" s="1175" t="s">
        <v>1036</v>
      </c>
      <c r="B373" s="1175"/>
      <c r="C373" s="1175"/>
      <c r="D373" s="1169"/>
      <c r="E373" s="1179"/>
      <c r="F373" s="1837"/>
      <c r="G373" s="1838"/>
      <c r="H373" s="2543" t="s">
        <v>1231</v>
      </c>
      <c r="I373" s="2544"/>
      <c r="J373" s="2727"/>
      <c r="K373" s="2545"/>
      <c r="L373" s="2135"/>
      <c r="M373" s="2136"/>
      <c r="N373" s="2536"/>
      <c r="O373" s="2537"/>
      <c r="P373" s="2539"/>
      <c r="Q373" s="2725"/>
      <c r="R373" s="2541"/>
      <c r="S373" s="2542"/>
      <c r="T373" s="2541"/>
      <c r="U373" s="2541"/>
      <c r="V373" s="2541"/>
      <c r="W373" s="2541"/>
      <c r="X373" s="2541"/>
      <c r="Y373" s="2541"/>
      <c r="Z373" s="1836"/>
      <c r="AA373" s="1802">
        <v>1</v>
      </c>
      <c r="AB373" s="1188" t="s">
        <v>1081</v>
      </c>
      <c r="AC373" s="1178">
        <v>975.23</v>
      </c>
      <c r="AD373" s="1188" t="str">
        <f>AB373</f>
        <v>      Амортизационные отчисления с выделением результатов переоценки основных средств и нематериальных активов</v>
      </c>
      <c r="AE373" s="1178">
        <v>975.23</v>
      </c>
      <c r="AF373" s="2534"/>
      <c r="AG373" s="2535"/>
      <c r="AH373" s="2535"/>
      <c r="AI373" s="2534"/>
      <c r="AJ373" s="2535"/>
      <c r="AK373" s="2535"/>
      <c r="AL373" s="1994"/>
      <c r="AM373" s="1831"/>
      <c r="AN373" s="1831"/>
      <c r="AO373" s="1831"/>
      <c r="AP373" s="1831"/>
      <c r="AQ373" s="1831"/>
      <c r="AR373" s="1831"/>
      <c r="AS373" s="1831"/>
      <c r="AT373" s="1831"/>
      <c r="AU373" s="1831"/>
      <c r="AV373" s="1831"/>
      <c r="AW373" s="1831"/>
      <c r="AX373" s="1831"/>
      <c r="AY373" s="1831"/>
      <c r="AZ373" s="1831"/>
      <c r="BA373" s="1831"/>
      <c r="BB373" s="1831"/>
      <c r="BC373" s="1831"/>
      <c r="BD373" s="1831"/>
      <c r="BE373" s="1831"/>
      <c r="BF373" s="1831"/>
      <c r="BG373" s="1644"/>
    </row>
    <row customHeight="1" ht="11.25">
      <c r="A374" s="1175" t="s">
        <v>1036</v>
      </c>
      <c r="B374" s="1175"/>
      <c r="C374" s="1175"/>
      <c r="D374" s="1169"/>
      <c r="E374" s="1179"/>
      <c r="F374" s="1838"/>
      <c r="G374" s="1838"/>
      <c r="H374" s="1838"/>
      <c r="I374" s="1838"/>
      <c r="J374" s="1838"/>
      <c r="K374" s="1838"/>
      <c r="L374" s="1838"/>
      <c r="M374" s="1838"/>
      <c r="N374" s="1838"/>
      <c r="O374" s="1838"/>
      <c r="P374" s="1838"/>
      <c r="Q374" s="1838"/>
      <c r="R374" s="1838"/>
      <c r="S374" s="1838"/>
      <c r="T374" s="1838"/>
      <c r="U374" s="1838"/>
      <c r="V374" s="1838"/>
      <c r="W374" s="1838"/>
      <c r="X374" s="1838"/>
      <c r="Y374" s="1838"/>
      <c r="Z374" s="692" t="s">
        <v>104</v>
      </c>
      <c r="AA374" s="1822" t="s">
        <v>103</v>
      </c>
      <c r="AB374" s="1188" t="s">
        <v>1091</v>
      </c>
      <c r="AC374" s="1178">
        <v>6081.41</v>
      </c>
      <c r="AD374" s="1188" t="str">
        <f>AB374</f>
        <v>  Прочие собственные средства</v>
      </c>
      <c r="AE374" s="1178">
        <v>323.91</v>
      </c>
      <c r="AF374" s="2095"/>
      <c r="AG374" s="1767"/>
      <c r="AH374" s="1767"/>
      <c r="AI374" s="2095"/>
      <c r="AJ374" s="1767"/>
      <c r="AK374" s="1993"/>
      <c r="AL374" s="1994"/>
      <c r="AM374" s="1831"/>
      <c r="AN374" s="1831"/>
      <c r="AO374" s="1831"/>
      <c r="AP374" s="1831"/>
      <c r="AQ374" s="1831"/>
      <c r="AR374" s="1831"/>
      <c r="AS374" s="1831"/>
      <c r="AT374" s="1831"/>
      <c r="AU374" s="1831"/>
      <c r="AV374" s="1831"/>
      <c r="AW374" s="1831"/>
      <c r="AX374" s="1831"/>
      <c r="AY374" s="1831"/>
      <c r="AZ374" s="1831"/>
      <c r="BA374" s="1831"/>
      <c r="BB374" s="1831"/>
      <c r="BC374" s="1831"/>
      <c r="BD374" s="1831"/>
      <c r="BE374" s="1831"/>
      <c r="BF374" s="1831"/>
      <c r="BG374" s="1644"/>
    </row>
    <row customHeight="1" ht="11.25">
      <c r="A375" s="1175" t="s">
        <v>1036</v>
      </c>
      <c r="B375" s="1175"/>
      <c r="C375" s="1175"/>
      <c r="D375" s="1169"/>
      <c r="E375" s="1179"/>
      <c r="F375" s="1837"/>
      <c r="G375" s="1838"/>
      <c r="H375" s="2543" t="s">
        <v>1231</v>
      </c>
      <c r="I375" s="2544"/>
      <c r="J375" s="2727"/>
      <c r="K375" s="2545"/>
      <c r="L375" s="2135"/>
      <c r="M375" s="2136"/>
      <c r="N375" s="2536"/>
      <c r="O375" s="2537"/>
      <c r="P375" s="2540"/>
      <c r="Q375" s="2725"/>
      <c r="R375" s="2541"/>
      <c r="S375" s="2542"/>
      <c r="T375" s="2541"/>
      <c r="U375" s="2541"/>
      <c r="V375" s="2541"/>
      <c r="W375" s="2541"/>
      <c r="X375" s="2541"/>
      <c r="Y375" s="2541"/>
      <c r="Z375" s="1184"/>
      <c r="AA375" s="1185"/>
      <c r="AB375" s="1250" t="s">
        <v>1082</v>
      </c>
      <c r="AC375" s="1189"/>
      <c r="AD375" s="1189"/>
      <c r="AE375" s="1191"/>
      <c r="AF375" s="2534"/>
      <c r="AG375" s="2535"/>
      <c r="AH375" s="2535"/>
      <c r="AI375" s="2534"/>
      <c r="AJ375" s="2535"/>
      <c r="AK375" s="2535"/>
      <c r="AL375" s="1994"/>
      <c r="AM375" s="1831"/>
      <c r="AN375" s="1831"/>
      <c r="AO375" s="1831"/>
      <c r="AP375" s="1831"/>
      <c r="AQ375" s="1831"/>
      <c r="AR375" s="1831"/>
      <c r="AS375" s="1831"/>
      <c r="AT375" s="1831"/>
      <c r="AU375" s="1831"/>
      <c r="AV375" s="1831"/>
      <c r="AW375" s="1831"/>
      <c r="AX375" s="1831"/>
      <c r="AY375" s="1831"/>
      <c r="AZ375" s="1831"/>
      <c r="BA375" s="1831"/>
      <c r="BB375" s="1831"/>
      <c r="BC375" s="1831"/>
      <c r="BD375" s="1831"/>
      <c r="BE375" s="1831"/>
      <c r="BF375" s="1831"/>
      <c r="BG375" s="1644"/>
    </row>
    <row customHeight="1" ht="11.25">
      <c r="A376" s="1175" t="s">
        <v>1036</v>
      </c>
      <c r="B376" s="1175"/>
      <c r="C376" s="1175"/>
      <c r="D376" s="1169"/>
      <c r="E376" s="1179"/>
      <c r="F376" s="1837"/>
      <c r="G376" s="1838"/>
      <c r="H376" s="2543" t="s">
        <v>1231</v>
      </c>
      <c r="I376" s="2544"/>
      <c r="J376" s="2727"/>
      <c r="K376" s="2545"/>
      <c r="L376" s="2135"/>
      <c r="M376" s="2136"/>
      <c r="N376" s="1184"/>
      <c r="O376" s="1185"/>
      <c r="P376" s="1177" t="s">
        <v>1083</v>
      </c>
      <c r="Q376" s="1185"/>
      <c r="R376" s="1185"/>
      <c r="S376" s="1185"/>
      <c r="T376" s="1185"/>
      <c r="U376" s="1185"/>
      <c r="V376" s="1185"/>
      <c r="W376" s="1185"/>
      <c r="X376" s="1185"/>
      <c r="Y376" s="1185"/>
      <c r="Z376" s="1185"/>
      <c r="AA376" s="1185"/>
      <c r="AB376" s="1185"/>
      <c r="AC376" s="1185"/>
      <c r="AD376" s="1185"/>
      <c r="AE376" s="1192"/>
      <c r="AF376" s="2534"/>
      <c r="AG376" s="2535"/>
      <c r="AH376" s="2535"/>
      <c r="AI376" s="2534"/>
      <c r="AJ376" s="2535"/>
      <c r="AK376" s="2535"/>
      <c r="AL376" s="1994"/>
      <c r="AM376" s="1831"/>
      <c r="AN376" s="1831"/>
      <c r="AO376" s="1831"/>
      <c r="AP376" s="1831"/>
      <c r="AQ376" s="1831"/>
      <c r="AR376" s="1831"/>
      <c r="AS376" s="1831"/>
      <c r="AT376" s="1831"/>
      <c r="AU376" s="1831"/>
      <c r="AV376" s="1831"/>
      <c r="AW376" s="1831"/>
      <c r="AX376" s="1831"/>
      <c r="AY376" s="1831"/>
      <c r="AZ376" s="1831"/>
      <c r="BA376" s="1831"/>
      <c r="BB376" s="1831"/>
      <c r="BC376" s="1831"/>
      <c r="BD376" s="1831"/>
      <c r="BE376" s="1831"/>
      <c r="BF376" s="1831"/>
      <c r="BG376" s="1644"/>
    </row>
    <row customHeight="1" ht="11.25">
      <c r="A377" s="1175" t="s">
        <v>1036</v>
      </c>
      <c r="B377" s="1175" t="s">
        <v>22</v>
      </c>
      <c r="C377" s="1175"/>
      <c r="D377" s="1169"/>
      <c r="E377" s="1179"/>
      <c r="F377" s="1837"/>
      <c r="G377" s="692" t="s">
        <v>104</v>
      </c>
      <c r="H377" s="2543" t="s">
        <v>1236</v>
      </c>
      <c r="I377" s="2544" t="s">
        <v>1137</v>
      </c>
      <c r="J377" s="2727" t="s">
        <v>22</v>
      </c>
      <c r="K377" s="2545" t="s">
        <v>1237</v>
      </c>
      <c r="L377" s="2135" t="s">
        <v>19</v>
      </c>
      <c r="M377" s="2136"/>
      <c r="N377" s="1992"/>
      <c r="O377" s="1186" t="s">
        <v>391</v>
      </c>
      <c r="P377" s="1187"/>
      <c r="Q377" s="1187"/>
      <c r="R377" s="1187"/>
      <c r="S377" s="1187"/>
      <c r="T377" s="1187"/>
      <c r="U377" s="1187"/>
      <c r="V377" s="1187"/>
      <c r="W377" s="1187"/>
      <c r="X377" s="1187"/>
      <c r="Y377" s="1187"/>
      <c r="Z377" s="1187"/>
      <c r="AA377" s="1187"/>
      <c r="AB377" s="1187"/>
      <c r="AC377" s="1187"/>
      <c r="AD377" s="1187"/>
      <c r="AE377" s="1187"/>
      <c r="AF377" s="2534">
        <v>1</v>
      </c>
      <c r="AG377" s="2535" t="s">
        <v>1072</v>
      </c>
      <c r="AH377" s="2535" t="s">
        <v>1085</v>
      </c>
      <c r="AI377" s="2534">
        <v>1</v>
      </c>
      <c r="AJ377" s="2535" t="s">
        <v>1072</v>
      </c>
      <c r="AK377" s="2535" t="s">
        <v>1085</v>
      </c>
      <c r="AL377" s="1994"/>
      <c r="AM377" s="1831"/>
      <c r="AN377" s="1831"/>
      <c r="AO377" s="1831"/>
      <c r="AP377" s="1831"/>
      <c r="AQ377" s="1831"/>
      <c r="AR377" s="1831"/>
      <c r="AS377" s="1831"/>
      <c r="AT377" s="1831"/>
      <c r="AU377" s="1831"/>
      <c r="AV377" s="1831"/>
      <c r="AW377" s="1831"/>
      <c r="AX377" s="1831"/>
      <c r="AY377" s="1831"/>
      <c r="AZ377" s="1831"/>
      <c r="BA377" s="1831"/>
      <c r="BB377" s="1831"/>
      <c r="BC377" s="1831"/>
      <c r="BD377" s="1831"/>
      <c r="BE377" s="1831"/>
      <c r="BF377" s="1831"/>
      <c r="BG377" s="1644"/>
    </row>
    <row customHeight="1" ht="11.25">
      <c r="A378" s="1175" t="s">
        <v>1036</v>
      </c>
      <c r="B378" s="1175"/>
      <c r="C378" s="1175"/>
      <c r="D378" s="1169"/>
      <c r="E378" s="1179"/>
      <c r="F378" s="1837"/>
      <c r="G378" s="1838"/>
      <c r="H378" s="2543" t="s">
        <v>1233</v>
      </c>
      <c r="I378" s="2544"/>
      <c r="J378" s="2727"/>
      <c r="K378" s="2545"/>
      <c r="L378" s="2135"/>
      <c r="M378" s="2136"/>
      <c r="N378" s="2536"/>
      <c r="O378" s="2537">
        <v>1</v>
      </c>
      <c r="P378" s="2538" t="s">
        <v>63</v>
      </c>
      <c r="Q378" s="2725" t="s">
        <v>1075</v>
      </c>
      <c r="R378" s="2726" t="s">
        <v>1076</v>
      </c>
      <c r="S378" s="2726" t="s">
        <v>106</v>
      </c>
      <c r="T378" s="2726" t="s">
        <v>106</v>
      </c>
      <c r="U378" s="2726" t="s">
        <v>107</v>
      </c>
      <c r="V378" s="2726" t="s">
        <v>1077</v>
      </c>
      <c r="W378" s="2726" t="s">
        <v>1078</v>
      </c>
      <c r="X378" s="2726" t="s">
        <v>1079</v>
      </c>
      <c r="Y378" s="2726" t="s">
        <v>1080</v>
      </c>
      <c r="Z378" s="1184"/>
      <c r="AA378" s="1185"/>
      <c r="AB378" s="1185"/>
      <c r="AC378" s="1189"/>
      <c r="AD378" s="1189"/>
      <c r="AE378" s="1190"/>
      <c r="AF378" s="2534"/>
      <c r="AG378" s="2535"/>
      <c r="AH378" s="2535"/>
      <c r="AI378" s="2534"/>
      <c r="AJ378" s="2535"/>
      <c r="AK378" s="2535"/>
      <c r="AL378" s="1994"/>
      <c r="AM378" s="1831"/>
      <c r="AN378" s="1831"/>
      <c r="AO378" s="1831"/>
      <c r="AP378" s="1831"/>
      <c r="AQ378" s="1831"/>
      <c r="AR378" s="1831"/>
      <c r="AS378" s="1831"/>
      <c r="AT378" s="1831"/>
      <c r="AU378" s="1831"/>
      <c r="AV378" s="1831"/>
      <c r="AW378" s="1831"/>
      <c r="AX378" s="1831"/>
      <c r="AY378" s="1831"/>
      <c r="AZ378" s="1831"/>
      <c r="BA378" s="1831"/>
      <c r="BB378" s="1831"/>
      <c r="BC378" s="1831"/>
      <c r="BD378" s="1831"/>
      <c r="BE378" s="1831"/>
      <c r="BF378" s="1831"/>
      <c r="BG378" s="1644"/>
    </row>
    <row customHeight="1" ht="11.25">
      <c r="A379" s="1175" t="s">
        <v>1036</v>
      </c>
      <c r="B379" s="1175"/>
      <c r="C379" s="1175"/>
      <c r="D379" s="1169"/>
      <c r="E379" s="1179"/>
      <c r="F379" s="1837"/>
      <c r="G379" s="1838"/>
      <c r="H379" s="2543" t="s">
        <v>1233</v>
      </c>
      <c r="I379" s="2544"/>
      <c r="J379" s="2727"/>
      <c r="K379" s="2545"/>
      <c r="L379" s="2135"/>
      <c r="M379" s="2136"/>
      <c r="N379" s="2536"/>
      <c r="O379" s="2537"/>
      <c r="P379" s="2539"/>
      <c r="Q379" s="2725"/>
      <c r="R379" s="2541"/>
      <c r="S379" s="2542"/>
      <c r="T379" s="2541"/>
      <c r="U379" s="2541"/>
      <c r="V379" s="2541"/>
      <c r="W379" s="2541"/>
      <c r="X379" s="2541"/>
      <c r="Y379" s="2541"/>
      <c r="Z379" s="1836"/>
      <c r="AA379" s="1802">
        <v>1</v>
      </c>
      <c r="AB379" s="1188" t="s">
        <v>1081</v>
      </c>
      <c r="AC379" s="1178">
        <v>2198.5</v>
      </c>
      <c r="AD379" s="1188" t="str">
        <f>AB379</f>
        <v>      Амортизационные отчисления с выделением результатов переоценки основных средств и нематериальных активов</v>
      </c>
      <c r="AE379" s="1178">
        <v>2198.5</v>
      </c>
      <c r="AF379" s="2534"/>
      <c r="AG379" s="2535"/>
      <c r="AH379" s="2535"/>
      <c r="AI379" s="2534"/>
      <c r="AJ379" s="2535"/>
      <c r="AK379" s="2535"/>
      <c r="AL379" s="1994"/>
      <c r="AM379" s="1831"/>
      <c r="AN379" s="1831"/>
      <c r="AO379" s="1831"/>
      <c r="AP379" s="1831"/>
      <c r="AQ379" s="1831"/>
      <c r="AR379" s="1831"/>
      <c r="AS379" s="1831"/>
      <c r="AT379" s="1831"/>
      <c r="AU379" s="1831"/>
      <c r="AV379" s="1831"/>
      <c r="AW379" s="1831"/>
      <c r="AX379" s="1831"/>
      <c r="AY379" s="1831"/>
      <c r="AZ379" s="1831"/>
      <c r="BA379" s="1831"/>
      <c r="BB379" s="1831"/>
      <c r="BC379" s="1831"/>
      <c r="BD379" s="1831"/>
      <c r="BE379" s="1831"/>
      <c r="BF379" s="1831"/>
      <c r="BG379" s="1644"/>
    </row>
    <row customHeight="1" ht="11.25">
      <c r="A380" s="1175" t="s">
        <v>1036</v>
      </c>
      <c r="B380" s="1175"/>
      <c r="C380" s="1175"/>
      <c r="D380" s="1169"/>
      <c r="E380" s="1179"/>
      <c r="F380" s="1838"/>
      <c r="G380" s="1838"/>
      <c r="H380" s="1838"/>
      <c r="I380" s="1838"/>
      <c r="J380" s="1838"/>
      <c r="K380" s="1838"/>
      <c r="L380" s="1838"/>
      <c r="M380" s="1838"/>
      <c r="N380" s="1838"/>
      <c r="O380" s="1838"/>
      <c r="P380" s="1838"/>
      <c r="Q380" s="1838"/>
      <c r="R380" s="1838"/>
      <c r="S380" s="1838"/>
      <c r="T380" s="1838"/>
      <c r="U380" s="1838"/>
      <c r="V380" s="1838"/>
      <c r="W380" s="1838"/>
      <c r="X380" s="1838"/>
      <c r="Y380" s="1838"/>
      <c r="Z380" s="692" t="s">
        <v>104</v>
      </c>
      <c r="AA380" s="1822" t="s">
        <v>103</v>
      </c>
      <c r="AB380" s="1188" t="s">
        <v>1091</v>
      </c>
      <c r="AC380" s="1178">
        <v>13709.61</v>
      </c>
      <c r="AD380" s="1188" t="str">
        <f>AB380</f>
        <v>  Прочие собственные средства</v>
      </c>
      <c r="AE380" s="1178">
        <v>12007.79</v>
      </c>
      <c r="AF380" s="2095"/>
      <c r="AG380" s="1767"/>
      <c r="AH380" s="1767"/>
      <c r="AI380" s="2095"/>
      <c r="AJ380" s="1767"/>
      <c r="AK380" s="1993"/>
      <c r="AL380" s="1994"/>
      <c r="AM380" s="1831"/>
      <c r="AN380" s="1831"/>
      <c r="AO380" s="1831"/>
      <c r="AP380" s="1831"/>
      <c r="AQ380" s="1831"/>
      <c r="AR380" s="1831"/>
      <c r="AS380" s="1831"/>
      <c r="AT380" s="1831"/>
      <c r="AU380" s="1831"/>
      <c r="AV380" s="1831"/>
      <c r="AW380" s="1831"/>
      <c r="AX380" s="1831"/>
      <c r="AY380" s="1831"/>
      <c r="AZ380" s="1831"/>
      <c r="BA380" s="1831"/>
      <c r="BB380" s="1831"/>
      <c r="BC380" s="1831"/>
      <c r="BD380" s="1831"/>
      <c r="BE380" s="1831"/>
      <c r="BF380" s="1831"/>
      <c r="BG380" s="1644"/>
    </row>
    <row customHeight="1" ht="11.25">
      <c r="A381" s="1175" t="s">
        <v>1036</v>
      </c>
      <c r="B381" s="1175"/>
      <c r="C381" s="1175"/>
      <c r="D381" s="1169"/>
      <c r="E381" s="1179"/>
      <c r="F381" s="1837"/>
      <c r="G381" s="1838"/>
      <c r="H381" s="2543" t="s">
        <v>1233</v>
      </c>
      <c r="I381" s="2544"/>
      <c r="J381" s="2727"/>
      <c r="K381" s="2545"/>
      <c r="L381" s="2135"/>
      <c r="M381" s="2136"/>
      <c r="N381" s="2536"/>
      <c r="O381" s="2537"/>
      <c r="P381" s="2540"/>
      <c r="Q381" s="2725"/>
      <c r="R381" s="2541"/>
      <c r="S381" s="2542"/>
      <c r="T381" s="2541"/>
      <c r="U381" s="2541"/>
      <c r="V381" s="2541"/>
      <c r="W381" s="2541"/>
      <c r="X381" s="2541"/>
      <c r="Y381" s="2541"/>
      <c r="Z381" s="1184"/>
      <c r="AA381" s="1185"/>
      <c r="AB381" s="1250" t="s">
        <v>1082</v>
      </c>
      <c r="AC381" s="1189"/>
      <c r="AD381" s="1189"/>
      <c r="AE381" s="1191"/>
      <c r="AF381" s="2534"/>
      <c r="AG381" s="2535"/>
      <c r="AH381" s="2535"/>
      <c r="AI381" s="2534"/>
      <c r="AJ381" s="2535"/>
      <c r="AK381" s="2535"/>
      <c r="AL381" s="1994"/>
      <c r="AM381" s="1831"/>
      <c r="AN381" s="1831"/>
      <c r="AO381" s="1831"/>
      <c r="AP381" s="1831"/>
      <c r="AQ381" s="1831"/>
      <c r="AR381" s="1831"/>
      <c r="AS381" s="1831"/>
      <c r="AT381" s="1831"/>
      <c r="AU381" s="1831"/>
      <c r="AV381" s="1831"/>
      <c r="AW381" s="1831"/>
      <c r="AX381" s="1831"/>
      <c r="AY381" s="1831"/>
      <c r="AZ381" s="1831"/>
      <c r="BA381" s="1831"/>
      <c r="BB381" s="1831"/>
      <c r="BC381" s="1831"/>
      <c r="BD381" s="1831"/>
      <c r="BE381" s="1831"/>
      <c r="BF381" s="1831"/>
      <c r="BG381" s="1644"/>
    </row>
    <row customHeight="1" ht="11.25">
      <c r="A382" s="1175" t="s">
        <v>1036</v>
      </c>
      <c r="B382" s="1175"/>
      <c r="C382" s="1175"/>
      <c r="D382" s="1169"/>
      <c r="E382" s="1179"/>
      <c r="F382" s="1837"/>
      <c r="G382" s="1838"/>
      <c r="H382" s="2543" t="s">
        <v>1233</v>
      </c>
      <c r="I382" s="2544"/>
      <c r="J382" s="2727"/>
      <c r="K382" s="2545"/>
      <c r="L382" s="2135"/>
      <c r="M382" s="2136"/>
      <c r="N382" s="1184"/>
      <c r="O382" s="1185"/>
      <c r="P382" s="1177" t="s">
        <v>1083</v>
      </c>
      <c r="Q382" s="1185"/>
      <c r="R382" s="1185"/>
      <c r="S382" s="1185"/>
      <c r="T382" s="1185"/>
      <c r="U382" s="1185"/>
      <c r="V382" s="1185"/>
      <c r="W382" s="1185"/>
      <c r="X382" s="1185"/>
      <c r="Y382" s="1185"/>
      <c r="Z382" s="1185"/>
      <c r="AA382" s="1185"/>
      <c r="AB382" s="1185"/>
      <c r="AC382" s="1185"/>
      <c r="AD382" s="1185"/>
      <c r="AE382" s="1192"/>
      <c r="AF382" s="2534"/>
      <c r="AG382" s="2535"/>
      <c r="AH382" s="2535"/>
      <c r="AI382" s="2534"/>
      <c r="AJ382" s="2535"/>
      <c r="AK382" s="2535"/>
      <c r="AL382" s="1994"/>
      <c r="AM382" s="1831"/>
      <c r="AN382" s="1831"/>
      <c r="AO382" s="1831"/>
      <c r="AP382" s="1831"/>
      <c r="AQ382" s="1831"/>
      <c r="AR382" s="1831"/>
      <c r="AS382" s="1831"/>
      <c r="AT382" s="1831"/>
      <c r="AU382" s="1831"/>
      <c r="AV382" s="1831"/>
      <c r="AW382" s="1831"/>
      <c r="AX382" s="1831"/>
      <c r="AY382" s="1831"/>
      <c r="AZ382" s="1831"/>
      <c r="BA382" s="1831"/>
      <c r="BB382" s="1831"/>
      <c r="BC382" s="1831"/>
      <c r="BD382" s="1831"/>
      <c r="BE382" s="1831"/>
      <c r="BF382" s="1831"/>
      <c r="BG382" s="1644"/>
    </row>
    <row customHeight="1" ht="11.25">
      <c r="A383" s="1175" t="s">
        <v>1036</v>
      </c>
      <c r="B383" s="1175" t="s">
        <v>22</v>
      </c>
      <c r="C383" s="1175"/>
      <c r="D383" s="1169"/>
      <c r="E383" s="1179"/>
      <c r="F383" s="1837"/>
      <c r="G383" s="692" t="s">
        <v>104</v>
      </c>
      <c r="H383" s="2543" t="s">
        <v>1238</v>
      </c>
      <c r="I383" s="2544" t="s">
        <v>1137</v>
      </c>
      <c r="J383" s="2727" t="s">
        <v>22</v>
      </c>
      <c r="K383" s="2545" t="s">
        <v>1239</v>
      </c>
      <c r="L383" s="2135" t="s">
        <v>19</v>
      </c>
      <c r="M383" s="2136"/>
      <c r="N383" s="1992"/>
      <c r="O383" s="1186" t="s">
        <v>391</v>
      </c>
      <c r="P383" s="1187"/>
      <c r="Q383" s="1187"/>
      <c r="R383" s="1187"/>
      <c r="S383" s="1187"/>
      <c r="T383" s="1187"/>
      <c r="U383" s="1187"/>
      <c r="V383" s="1187"/>
      <c r="W383" s="1187"/>
      <c r="X383" s="1187"/>
      <c r="Y383" s="1187"/>
      <c r="Z383" s="1187"/>
      <c r="AA383" s="1187"/>
      <c r="AB383" s="1187"/>
      <c r="AC383" s="1187"/>
      <c r="AD383" s="1187"/>
      <c r="AE383" s="1187"/>
      <c r="AF383" s="2534">
        <v>3</v>
      </c>
      <c r="AG383" s="2535" t="s">
        <v>1072</v>
      </c>
      <c r="AH383" s="2535" t="s">
        <v>1105</v>
      </c>
      <c r="AI383" s="2724"/>
      <c r="AJ383" s="2535" t="s">
        <v>1074</v>
      </c>
      <c r="AK383" s="2535" t="s">
        <v>1074</v>
      </c>
      <c r="AL383" s="1994"/>
      <c r="AM383" s="1831"/>
      <c r="AN383" s="1831"/>
      <c r="AO383" s="1831"/>
      <c r="AP383" s="1831"/>
      <c r="AQ383" s="1831"/>
      <c r="AR383" s="1831"/>
      <c r="AS383" s="1831"/>
      <c r="AT383" s="1831"/>
      <c r="AU383" s="1831"/>
      <c r="AV383" s="1831"/>
      <c r="AW383" s="1831"/>
      <c r="AX383" s="1831"/>
      <c r="AY383" s="1831"/>
      <c r="AZ383" s="1831"/>
      <c r="BA383" s="1831"/>
      <c r="BB383" s="1831"/>
      <c r="BC383" s="1831"/>
      <c r="BD383" s="1831"/>
      <c r="BE383" s="1831"/>
      <c r="BF383" s="1831"/>
      <c r="BG383" s="1644"/>
    </row>
    <row customHeight="1" ht="11.25">
      <c r="A384" s="1175" t="s">
        <v>1036</v>
      </c>
      <c r="B384" s="1175"/>
      <c r="C384" s="1175"/>
      <c r="D384" s="1169"/>
      <c r="E384" s="1179"/>
      <c r="F384" s="1837"/>
      <c r="G384" s="1838"/>
      <c r="H384" s="2543" t="s">
        <v>1236</v>
      </c>
      <c r="I384" s="2544"/>
      <c r="J384" s="2727"/>
      <c r="K384" s="2545"/>
      <c r="L384" s="2135"/>
      <c r="M384" s="2136"/>
      <c r="N384" s="2536"/>
      <c r="O384" s="2537">
        <v>1</v>
      </c>
      <c r="P384" s="2538" t="s">
        <v>63</v>
      </c>
      <c r="Q384" s="2725" t="s">
        <v>1075</v>
      </c>
      <c r="R384" s="2726" t="s">
        <v>1076</v>
      </c>
      <c r="S384" s="2726" t="s">
        <v>106</v>
      </c>
      <c r="T384" s="2726" t="s">
        <v>106</v>
      </c>
      <c r="U384" s="2726" t="s">
        <v>107</v>
      </c>
      <c r="V384" s="2726" t="s">
        <v>1077</v>
      </c>
      <c r="W384" s="2726" t="s">
        <v>1078</v>
      </c>
      <c r="X384" s="2726" t="s">
        <v>1079</v>
      </c>
      <c r="Y384" s="2726" t="s">
        <v>1080</v>
      </c>
      <c r="Z384" s="1184"/>
      <c r="AA384" s="1185"/>
      <c r="AB384" s="1185"/>
      <c r="AC384" s="1189"/>
      <c r="AD384" s="1189"/>
      <c r="AE384" s="1190"/>
      <c r="AF384" s="2534"/>
      <c r="AG384" s="2535"/>
      <c r="AH384" s="2535"/>
      <c r="AI384" s="2724"/>
      <c r="AJ384" s="2535"/>
      <c r="AK384" s="2535"/>
      <c r="AL384" s="1994"/>
      <c r="AM384" s="1831"/>
      <c r="AN384" s="1831"/>
      <c r="AO384" s="1831"/>
      <c r="AP384" s="1831"/>
      <c r="AQ384" s="1831"/>
      <c r="AR384" s="1831"/>
      <c r="AS384" s="1831"/>
      <c r="AT384" s="1831"/>
      <c r="AU384" s="1831"/>
      <c r="AV384" s="1831"/>
      <c r="AW384" s="1831"/>
      <c r="AX384" s="1831"/>
      <c r="AY384" s="1831"/>
      <c r="AZ384" s="1831"/>
      <c r="BA384" s="1831"/>
      <c r="BB384" s="1831"/>
      <c r="BC384" s="1831"/>
      <c r="BD384" s="1831"/>
      <c r="BE384" s="1831"/>
      <c r="BF384" s="1831"/>
      <c r="BG384" s="1644"/>
    </row>
    <row customHeight="1" ht="11.25">
      <c r="A385" s="1175" t="s">
        <v>1036</v>
      </c>
      <c r="B385" s="1175"/>
      <c r="C385" s="1175"/>
      <c r="D385" s="1169"/>
      <c r="E385" s="1179"/>
      <c r="F385" s="1837"/>
      <c r="G385" s="1838"/>
      <c r="H385" s="2543" t="s">
        <v>1236</v>
      </c>
      <c r="I385" s="2544"/>
      <c r="J385" s="2727"/>
      <c r="K385" s="2545"/>
      <c r="L385" s="2135"/>
      <c r="M385" s="2136"/>
      <c r="N385" s="2536"/>
      <c r="O385" s="2537"/>
      <c r="P385" s="2539"/>
      <c r="Q385" s="2725"/>
      <c r="R385" s="2541"/>
      <c r="S385" s="2542"/>
      <c r="T385" s="2541"/>
      <c r="U385" s="2541"/>
      <c r="V385" s="2541"/>
      <c r="W385" s="2541"/>
      <c r="X385" s="2541"/>
      <c r="Y385" s="2541"/>
      <c r="Z385" s="1836"/>
      <c r="AA385" s="1802">
        <v>1</v>
      </c>
      <c r="AB385" s="1188" t="s">
        <v>1081</v>
      </c>
      <c r="AC385" s="1178">
        <v>65.4</v>
      </c>
      <c r="AD385" s="1188" t="str">
        <f>AB385</f>
        <v>      Амортизационные отчисления с выделением результатов переоценки основных средств и нематериальных активов</v>
      </c>
      <c r="AE385" s="1178">
        <v>65.4</v>
      </c>
      <c r="AF385" s="2534"/>
      <c r="AG385" s="2535"/>
      <c r="AH385" s="2535"/>
      <c r="AI385" s="2724"/>
      <c r="AJ385" s="2535"/>
      <c r="AK385" s="2535"/>
      <c r="AL385" s="1994"/>
      <c r="AM385" s="1831"/>
      <c r="AN385" s="1831"/>
      <c r="AO385" s="1831"/>
      <c r="AP385" s="1831"/>
      <c r="AQ385" s="1831"/>
      <c r="AR385" s="1831"/>
      <c r="AS385" s="1831"/>
      <c r="AT385" s="1831"/>
      <c r="AU385" s="1831"/>
      <c r="AV385" s="1831"/>
      <c r="AW385" s="1831"/>
      <c r="AX385" s="1831"/>
      <c r="AY385" s="1831"/>
      <c r="AZ385" s="1831"/>
      <c r="BA385" s="1831"/>
      <c r="BB385" s="1831"/>
      <c r="BC385" s="1831"/>
      <c r="BD385" s="1831"/>
      <c r="BE385" s="1831"/>
      <c r="BF385" s="1831"/>
      <c r="BG385" s="1644"/>
    </row>
    <row customHeight="1" ht="11.25">
      <c r="A386" s="1175" t="s">
        <v>1036</v>
      </c>
      <c r="B386" s="1175"/>
      <c r="C386" s="1175"/>
      <c r="D386" s="1169"/>
      <c r="E386" s="1179"/>
      <c r="F386" s="1838"/>
      <c r="G386" s="1838"/>
      <c r="H386" s="1838"/>
      <c r="I386" s="1838"/>
      <c r="J386" s="1838"/>
      <c r="K386" s="1838"/>
      <c r="L386" s="1838"/>
      <c r="M386" s="1838"/>
      <c r="N386" s="1838"/>
      <c r="O386" s="1838"/>
      <c r="P386" s="1838"/>
      <c r="Q386" s="1838"/>
      <c r="R386" s="1838"/>
      <c r="S386" s="1838"/>
      <c r="T386" s="1838"/>
      <c r="U386" s="1838"/>
      <c r="V386" s="1838"/>
      <c r="W386" s="1838"/>
      <c r="X386" s="1838"/>
      <c r="Y386" s="1838"/>
      <c r="Z386" s="692" t="s">
        <v>104</v>
      </c>
      <c r="AA386" s="1822" t="s">
        <v>103</v>
      </c>
      <c r="AB386" s="1188" t="s">
        <v>1091</v>
      </c>
      <c r="AC386" s="1178">
        <v>407.85</v>
      </c>
      <c r="AD386" s="1188" t="str">
        <f>AB386</f>
        <v>  Прочие собственные средства</v>
      </c>
      <c r="AE386" s="1178">
        <v>428.21</v>
      </c>
      <c r="AF386" s="2095"/>
      <c r="AG386" s="1767"/>
      <c r="AH386" s="1767"/>
      <c r="AI386" s="2728"/>
      <c r="AJ386" s="1767"/>
      <c r="AK386" s="1993"/>
      <c r="AL386" s="1994"/>
      <c r="AM386" s="1831"/>
      <c r="AN386" s="1831"/>
      <c r="AO386" s="1831"/>
      <c r="AP386" s="1831"/>
      <c r="AQ386" s="1831"/>
      <c r="AR386" s="1831"/>
      <c r="AS386" s="1831"/>
      <c r="AT386" s="1831"/>
      <c r="AU386" s="1831"/>
      <c r="AV386" s="1831"/>
      <c r="AW386" s="1831"/>
      <c r="AX386" s="1831"/>
      <c r="AY386" s="1831"/>
      <c r="AZ386" s="1831"/>
      <c r="BA386" s="1831"/>
      <c r="BB386" s="1831"/>
      <c r="BC386" s="1831"/>
      <c r="BD386" s="1831"/>
      <c r="BE386" s="1831"/>
      <c r="BF386" s="1831"/>
      <c r="BG386" s="1644"/>
    </row>
    <row customHeight="1" ht="11.25">
      <c r="A387" s="1175" t="s">
        <v>1036</v>
      </c>
      <c r="B387" s="1175"/>
      <c r="C387" s="1175"/>
      <c r="D387" s="1169"/>
      <c r="E387" s="1179"/>
      <c r="F387" s="1837"/>
      <c r="G387" s="1838"/>
      <c r="H387" s="2543" t="s">
        <v>1236</v>
      </c>
      <c r="I387" s="2544"/>
      <c r="J387" s="2727"/>
      <c r="K387" s="2545"/>
      <c r="L387" s="2135"/>
      <c r="M387" s="2136"/>
      <c r="N387" s="2536"/>
      <c r="O387" s="2537"/>
      <c r="P387" s="2540"/>
      <c r="Q387" s="2725"/>
      <c r="R387" s="2541"/>
      <c r="S387" s="2542"/>
      <c r="T387" s="2541"/>
      <c r="U387" s="2541"/>
      <c r="V387" s="2541"/>
      <c r="W387" s="2541"/>
      <c r="X387" s="2541"/>
      <c r="Y387" s="2541"/>
      <c r="Z387" s="1184"/>
      <c r="AA387" s="1185"/>
      <c r="AB387" s="1250" t="s">
        <v>1082</v>
      </c>
      <c r="AC387" s="1189"/>
      <c r="AD387" s="1189"/>
      <c r="AE387" s="1191"/>
      <c r="AF387" s="2534"/>
      <c r="AG387" s="2535"/>
      <c r="AH387" s="2535"/>
      <c r="AI387" s="2724"/>
      <c r="AJ387" s="2535"/>
      <c r="AK387" s="2535"/>
      <c r="AL387" s="1994"/>
      <c r="AM387" s="1831"/>
      <c r="AN387" s="1831"/>
      <c r="AO387" s="1831"/>
      <c r="AP387" s="1831"/>
      <c r="AQ387" s="1831"/>
      <c r="AR387" s="1831"/>
      <c r="AS387" s="1831"/>
      <c r="AT387" s="1831"/>
      <c r="AU387" s="1831"/>
      <c r="AV387" s="1831"/>
      <c r="AW387" s="1831"/>
      <c r="AX387" s="1831"/>
      <c r="AY387" s="1831"/>
      <c r="AZ387" s="1831"/>
      <c r="BA387" s="1831"/>
      <c r="BB387" s="1831"/>
      <c r="BC387" s="1831"/>
      <c r="BD387" s="1831"/>
      <c r="BE387" s="1831"/>
      <c r="BF387" s="1831"/>
      <c r="BG387" s="1644"/>
    </row>
    <row customHeight="1" ht="11.25">
      <c r="A388" s="1175" t="s">
        <v>1036</v>
      </c>
      <c r="B388" s="1175"/>
      <c r="C388" s="1175"/>
      <c r="D388" s="1169"/>
      <c r="E388" s="1179"/>
      <c r="F388" s="1837"/>
      <c r="G388" s="1838"/>
      <c r="H388" s="2543" t="s">
        <v>1236</v>
      </c>
      <c r="I388" s="2544"/>
      <c r="J388" s="2727"/>
      <c r="K388" s="2545"/>
      <c r="L388" s="2135"/>
      <c r="M388" s="2136"/>
      <c r="N388" s="1184"/>
      <c r="O388" s="1185"/>
      <c r="P388" s="1177" t="s">
        <v>1083</v>
      </c>
      <c r="Q388" s="1185"/>
      <c r="R388" s="1185"/>
      <c r="S388" s="1185"/>
      <c r="T388" s="1185"/>
      <c r="U388" s="1185"/>
      <c r="V388" s="1185"/>
      <c r="W388" s="1185"/>
      <c r="X388" s="1185"/>
      <c r="Y388" s="1185"/>
      <c r="Z388" s="1185"/>
      <c r="AA388" s="1185"/>
      <c r="AB388" s="1185"/>
      <c r="AC388" s="1185"/>
      <c r="AD388" s="1185"/>
      <c r="AE388" s="1192"/>
      <c r="AF388" s="2534"/>
      <c r="AG388" s="2535"/>
      <c r="AH388" s="2535"/>
      <c r="AI388" s="2724"/>
      <c r="AJ388" s="2535"/>
      <c r="AK388" s="2535"/>
      <c r="AL388" s="1994"/>
      <c r="AM388" s="1831"/>
      <c r="AN388" s="1831"/>
      <c r="AO388" s="1831"/>
      <c r="AP388" s="1831"/>
      <c r="AQ388" s="1831"/>
      <c r="AR388" s="1831"/>
      <c r="AS388" s="1831"/>
      <c r="AT388" s="1831"/>
      <c r="AU388" s="1831"/>
      <c r="AV388" s="1831"/>
      <c r="AW388" s="1831"/>
      <c r="AX388" s="1831"/>
      <c r="AY388" s="1831"/>
      <c r="AZ388" s="1831"/>
      <c r="BA388" s="1831"/>
      <c r="BB388" s="1831"/>
      <c r="BC388" s="1831"/>
      <c r="BD388" s="1831"/>
      <c r="BE388" s="1831"/>
      <c r="BF388" s="1831"/>
      <c r="BG388" s="1644"/>
    </row>
    <row customHeight="1" ht="11.25">
      <c r="A389" s="1175" t="s">
        <v>1036</v>
      </c>
      <c r="B389" s="1175" t="s">
        <v>22</v>
      </c>
      <c r="C389" s="1175"/>
      <c r="D389" s="1169"/>
      <c r="E389" s="1179"/>
      <c r="F389" s="1837"/>
      <c r="G389" s="692" t="s">
        <v>104</v>
      </c>
      <c r="H389" s="2543" t="s">
        <v>1240</v>
      </c>
      <c r="I389" s="2544" t="s">
        <v>1137</v>
      </c>
      <c r="J389" s="2727" t="s">
        <v>22</v>
      </c>
      <c r="K389" s="2545" t="s">
        <v>1241</v>
      </c>
      <c r="L389" s="2135" t="s">
        <v>19</v>
      </c>
      <c r="M389" s="2136"/>
      <c r="N389" s="1992"/>
      <c r="O389" s="1186" t="s">
        <v>391</v>
      </c>
      <c r="P389" s="1187"/>
      <c r="Q389" s="1187"/>
      <c r="R389" s="1187"/>
      <c r="S389" s="1187"/>
      <c r="T389" s="1187"/>
      <c r="U389" s="1187"/>
      <c r="V389" s="1187"/>
      <c r="W389" s="1187"/>
      <c r="X389" s="1187"/>
      <c r="Y389" s="1187"/>
      <c r="Z389" s="1187"/>
      <c r="AA389" s="1187"/>
      <c r="AB389" s="1187"/>
      <c r="AC389" s="1187"/>
      <c r="AD389" s="1187"/>
      <c r="AE389" s="1187"/>
      <c r="AF389" s="2534">
        <v>2</v>
      </c>
      <c r="AG389" s="2535" t="s">
        <v>1072</v>
      </c>
      <c r="AH389" s="2535" t="s">
        <v>1073</v>
      </c>
      <c r="AI389" s="2906">
        <v>1</v>
      </c>
      <c r="AJ389" s="2535" t="s">
        <v>1072</v>
      </c>
      <c r="AK389" s="2535" t="s">
        <v>1085</v>
      </c>
      <c r="AL389" s="1994"/>
      <c r="AM389" s="1831"/>
      <c r="AN389" s="1831"/>
      <c r="AO389" s="1831"/>
      <c r="AP389" s="1831"/>
      <c r="AQ389" s="1831"/>
      <c r="AR389" s="1831"/>
      <c r="AS389" s="1831"/>
      <c r="AT389" s="1831"/>
      <c r="AU389" s="1831"/>
      <c r="AV389" s="1831"/>
      <c r="AW389" s="1831"/>
      <c r="AX389" s="1831"/>
      <c r="AY389" s="1831"/>
      <c r="AZ389" s="1831"/>
      <c r="BA389" s="1831"/>
      <c r="BB389" s="1831"/>
      <c r="BC389" s="1831"/>
      <c r="BD389" s="1831"/>
      <c r="BE389" s="1831"/>
      <c r="BF389" s="1831"/>
      <c r="BG389" s="1644"/>
    </row>
    <row customHeight="1" ht="11.25">
      <c r="A390" s="1175" t="s">
        <v>1036</v>
      </c>
      <c r="B390" s="1175"/>
      <c r="C390" s="1175"/>
      <c r="D390" s="1169"/>
      <c r="E390" s="1179"/>
      <c r="F390" s="1837"/>
      <c r="G390" s="1838"/>
      <c r="H390" s="2543" t="s">
        <v>1238</v>
      </c>
      <c r="I390" s="2544"/>
      <c r="J390" s="2727"/>
      <c r="K390" s="2545"/>
      <c r="L390" s="2135"/>
      <c r="M390" s="2136"/>
      <c r="N390" s="2536"/>
      <c r="O390" s="2537">
        <v>1</v>
      </c>
      <c r="P390" s="2538" t="s">
        <v>63</v>
      </c>
      <c r="Q390" s="2725" t="s">
        <v>1075</v>
      </c>
      <c r="R390" s="2726" t="s">
        <v>1076</v>
      </c>
      <c r="S390" s="2726" t="s">
        <v>106</v>
      </c>
      <c r="T390" s="2726" t="s">
        <v>106</v>
      </c>
      <c r="U390" s="2726" t="s">
        <v>107</v>
      </c>
      <c r="V390" s="2726" t="s">
        <v>1077</v>
      </c>
      <c r="W390" s="2726" t="s">
        <v>1078</v>
      </c>
      <c r="X390" s="2726" t="s">
        <v>1079</v>
      </c>
      <c r="Y390" s="2726" t="s">
        <v>1080</v>
      </c>
      <c r="Z390" s="1184"/>
      <c r="AA390" s="1185"/>
      <c r="AB390" s="1185"/>
      <c r="AC390" s="1189"/>
      <c r="AD390" s="1189"/>
      <c r="AE390" s="1190"/>
      <c r="AF390" s="2534"/>
      <c r="AG390" s="2535"/>
      <c r="AH390" s="2535"/>
      <c r="AI390" s="2906"/>
      <c r="AJ390" s="2535"/>
      <c r="AK390" s="2535"/>
      <c r="AL390" s="1994"/>
      <c r="AM390" s="1831"/>
      <c r="AN390" s="1831"/>
      <c r="AO390" s="1831"/>
      <c r="AP390" s="1831"/>
      <c r="AQ390" s="1831"/>
      <c r="AR390" s="1831"/>
      <c r="AS390" s="1831"/>
      <c r="AT390" s="1831"/>
      <c r="AU390" s="1831"/>
      <c r="AV390" s="1831"/>
      <c r="AW390" s="1831"/>
      <c r="AX390" s="1831"/>
      <c r="AY390" s="1831"/>
      <c r="AZ390" s="1831"/>
      <c r="BA390" s="1831"/>
      <c r="BB390" s="1831"/>
      <c r="BC390" s="1831"/>
      <c r="BD390" s="1831"/>
      <c r="BE390" s="1831"/>
      <c r="BF390" s="1831"/>
      <c r="BG390" s="1644"/>
    </row>
    <row customHeight="1" ht="11.25">
      <c r="A391" s="1175" t="s">
        <v>1036</v>
      </c>
      <c r="B391" s="1175"/>
      <c r="C391" s="1175"/>
      <c r="D391" s="1169"/>
      <c r="E391" s="1179"/>
      <c r="F391" s="1837"/>
      <c r="G391" s="1838"/>
      <c r="H391" s="2543" t="s">
        <v>1238</v>
      </c>
      <c r="I391" s="2544"/>
      <c r="J391" s="2727"/>
      <c r="K391" s="2545"/>
      <c r="L391" s="2135"/>
      <c r="M391" s="2136"/>
      <c r="N391" s="2536"/>
      <c r="O391" s="2537"/>
      <c r="P391" s="2539"/>
      <c r="Q391" s="2725"/>
      <c r="R391" s="2541"/>
      <c r="S391" s="2542"/>
      <c r="T391" s="2541"/>
      <c r="U391" s="2541"/>
      <c r="V391" s="2541"/>
      <c r="W391" s="2541"/>
      <c r="X391" s="2541"/>
      <c r="Y391" s="2541"/>
      <c r="Z391" s="1836"/>
      <c r="AA391" s="1802">
        <v>1</v>
      </c>
      <c r="AB391" s="1188" t="s">
        <v>1081</v>
      </c>
      <c r="AC391" s="1178">
        <v>270.88</v>
      </c>
      <c r="AD391" s="1188" t="str">
        <f>AB391</f>
        <v>      Амортизационные отчисления с выделением результатов переоценки основных средств и нематериальных активов</v>
      </c>
      <c r="AE391" s="1178">
        <v>270.88</v>
      </c>
      <c r="AF391" s="2534"/>
      <c r="AG391" s="2535"/>
      <c r="AH391" s="2535"/>
      <c r="AI391" s="2906"/>
      <c r="AJ391" s="2535"/>
      <c r="AK391" s="2535"/>
      <c r="AL391" s="1994"/>
      <c r="AM391" s="1831"/>
      <c r="AN391" s="1831"/>
      <c r="AO391" s="1831"/>
      <c r="AP391" s="1831"/>
      <c r="AQ391" s="1831"/>
      <c r="AR391" s="1831"/>
      <c r="AS391" s="1831"/>
      <c r="AT391" s="1831"/>
      <c r="AU391" s="1831"/>
      <c r="AV391" s="1831"/>
      <c r="AW391" s="1831"/>
      <c r="AX391" s="1831"/>
      <c r="AY391" s="1831"/>
      <c r="AZ391" s="1831"/>
      <c r="BA391" s="1831"/>
      <c r="BB391" s="1831"/>
      <c r="BC391" s="1831"/>
      <c r="BD391" s="1831"/>
      <c r="BE391" s="1831"/>
      <c r="BF391" s="1831"/>
      <c r="BG391" s="1644"/>
    </row>
    <row customHeight="1" ht="11.25">
      <c r="A392" s="1175" t="s">
        <v>1036</v>
      </c>
      <c r="B392" s="1175"/>
      <c r="C392" s="1175"/>
      <c r="D392" s="1169"/>
      <c r="E392" s="1179"/>
      <c r="F392" s="1838"/>
      <c r="G392" s="1838"/>
      <c r="H392" s="1838"/>
      <c r="I392" s="1838"/>
      <c r="J392" s="1838"/>
      <c r="K392" s="1838"/>
      <c r="L392" s="1838"/>
      <c r="M392" s="1838"/>
      <c r="N392" s="1838"/>
      <c r="O392" s="1838"/>
      <c r="P392" s="1838"/>
      <c r="Q392" s="1838"/>
      <c r="R392" s="1838"/>
      <c r="S392" s="1838"/>
      <c r="T392" s="1838"/>
      <c r="U392" s="1838"/>
      <c r="V392" s="1838"/>
      <c r="W392" s="1838"/>
      <c r="X392" s="1838"/>
      <c r="Y392" s="1838"/>
      <c r="Z392" s="692" t="s">
        <v>104</v>
      </c>
      <c r="AA392" s="1822" t="s">
        <v>103</v>
      </c>
      <c r="AB392" s="1188" t="s">
        <v>1091</v>
      </c>
      <c r="AC392" s="1178">
        <v>1689.15</v>
      </c>
      <c r="AD392" s="1188" t="str">
        <f>AB392</f>
        <v>  Прочие собственные средства</v>
      </c>
      <c r="AE392" s="1178">
        <v>61.23</v>
      </c>
      <c r="AF392" s="2095"/>
      <c r="AG392" s="1767"/>
      <c r="AH392" s="1767"/>
      <c r="AI392" s="2908"/>
      <c r="AJ392" s="1767"/>
      <c r="AK392" s="1993"/>
      <c r="AL392" s="1994"/>
      <c r="AM392" s="1831"/>
      <c r="AN392" s="1831"/>
      <c r="AO392" s="1831"/>
      <c r="AP392" s="1831"/>
      <c r="AQ392" s="1831"/>
      <c r="AR392" s="1831"/>
      <c r="AS392" s="1831"/>
      <c r="AT392" s="1831"/>
      <c r="AU392" s="1831"/>
      <c r="AV392" s="1831"/>
      <c r="AW392" s="1831"/>
      <c r="AX392" s="1831"/>
      <c r="AY392" s="1831"/>
      <c r="AZ392" s="1831"/>
      <c r="BA392" s="1831"/>
      <c r="BB392" s="1831"/>
      <c r="BC392" s="1831"/>
      <c r="BD392" s="1831"/>
      <c r="BE392" s="1831"/>
      <c r="BF392" s="1831"/>
      <c r="BG392" s="1644"/>
    </row>
    <row customHeight="1" ht="11.25">
      <c r="A393" s="1175" t="s">
        <v>1036</v>
      </c>
      <c r="B393" s="1175"/>
      <c r="C393" s="1175"/>
      <c r="D393" s="1169"/>
      <c r="E393" s="1179"/>
      <c r="F393" s="1837"/>
      <c r="G393" s="1838"/>
      <c r="H393" s="2543" t="s">
        <v>1238</v>
      </c>
      <c r="I393" s="2544"/>
      <c r="J393" s="2727"/>
      <c r="K393" s="2545"/>
      <c r="L393" s="2135"/>
      <c r="M393" s="2136"/>
      <c r="N393" s="2536"/>
      <c r="O393" s="2537"/>
      <c r="P393" s="2540"/>
      <c r="Q393" s="2725"/>
      <c r="R393" s="2541"/>
      <c r="S393" s="2542"/>
      <c r="T393" s="2541"/>
      <c r="U393" s="2541"/>
      <c r="V393" s="2541"/>
      <c r="W393" s="2541"/>
      <c r="X393" s="2541"/>
      <c r="Y393" s="2541"/>
      <c r="Z393" s="1184"/>
      <c r="AA393" s="1185"/>
      <c r="AB393" s="1250" t="s">
        <v>1082</v>
      </c>
      <c r="AC393" s="1189"/>
      <c r="AD393" s="1189"/>
      <c r="AE393" s="1191"/>
      <c r="AF393" s="2534"/>
      <c r="AG393" s="2535"/>
      <c r="AH393" s="2535"/>
      <c r="AI393" s="2906"/>
      <c r="AJ393" s="2535"/>
      <c r="AK393" s="2535"/>
      <c r="AL393" s="1994"/>
      <c r="AM393" s="1831"/>
      <c r="AN393" s="1831"/>
      <c r="AO393" s="1831"/>
      <c r="AP393" s="1831"/>
      <c r="AQ393" s="1831"/>
      <c r="AR393" s="1831"/>
      <c r="AS393" s="1831"/>
      <c r="AT393" s="1831"/>
      <c r="AU393" s="1831"/>
      <c r="AV393" s="1831"/>
      <c r="AW393" s="1831"/>
      <c r="AX393" s="1831"/>
      <c r="AY393" s="1831"/>
      <c r="AZ393" s="1831"/>
      <c r="BA393" s="1831"/>
      <c r="BB393" s="1831"/>
      <c r="BC393" s="1831"/>
      <c r="BD393" s="1831"/>
      <c r="BE393" s="1831"/>
      <c r="BF393" s="1831"/>
      <c r="BG393" s="1644"/>
    </row>
    <row customHeight="1" ht="11.25">
      <c r="A394" s="1175" t="s">
        <v>1036</v>
      </c>
      <c r="B394" s="1175"/>
      <c r="C394" s="1175"/>
      <c r="D394" s="1169"/>
      <c r="E394" s="1179"/>
      <c r="F394" s="1837"/>
      <c r="G394" s="1838"/>
      <c r="H394" s="2543" t="s">
        <v>1238</v>
      </c>
      <c r="I394" s="2544"/>
      <c r="J394" s="2727"/>
      <c r="K394" s="2545"/>
      <c r="L394" s="2135"/>
      <c r="M394" s="2136"/>
      <c r="N394" s="1184"/>
      <c r="O394" s="1185"/>
      <c r="P394" s="1177" t="s">
        <v>1083</v>
      </c>
      <c r="Q394" s="1185"/>
      <c r="R394" s="1185"/>
      <c r="S394" s="1185"/>
      <c r="T394" s="1185"/>
      <c r="U394" s="1185"/>
      <c r="V394" s="1185"/>
      <c r="W394" s="1185"/>
      <c r="X394" s="1185"/>
      <c r="Y394" s="1185"/>
      <c r="Z394" s="1185"/>
      <c r="AA394" s="1185"/>
      <c r="AB394" s="1185"/>
      <c r="AC394" s="1185"/>
      <c r="AD394" s="1185"/>
      <c r="AE394" s="1192"/>
      <c r="AF394" s="2534"/>
      <c r="AG394" s="2535"/>
      <c r="AH394" s="2535"/>
      <c r="AI394" s="2906"/>
      <c r="AJ394" s="2535"/>
      <c r="AK394" s="2535"/>
      <c r="AL394" s="1994"/>
      <c r="AM394" s="1831"/>
      <c r="AN394" s="1831"/>
      <c r="AO394" s="1831"/>
      <c r="AP394" s="1831"/>
      <c r="AQ394" s="1831"/>
      <c r="AR394" s="1831"/>
      <c r="AS394" s="1831"/>
      <c r="AT394" s="1831"/>
      <c r="AU394" s="1831"/>
      <c r="AV394" s="1831"/>
      <c r="AW394" s="1831"/>
      <c r="AX394" s="1831"/>
      <c r="AY394" s="1831"/>
      <c r="AZ394" s="1831"/>
      <c r="BA394" s="1831"/>
      <c r="BB394" s="1831"/>
      <c r="BC394" s="1831"/>
      <c r="BD394" s="1831"/>
      <c r="BE394" s="1831"/>
      <c r="BF394" s="1831"/>
      <c r="BG394" s="1644"/>
    </row>
    <row customHeight="1" ht="11.25">
      <c r="A395" s="1175" t="s">
        <v>1036</v>
      </c>
      <c r="B395" s="1175" t="s">
        <v>22</v>
      </c>
      <c r="C395" s="1175"/>
      <c r="D395" s="1169"/>
      <c r="E395" s="1179"/>
      <c r="F395" s="1837"/>
      <c r="G395" s="692" t="s">
        <v>104</v>
      </c>
      <c r="H395" s="2543" t="s">
        <v>1242</v>
      </c>
      <c r="I395" s="2544" t="s">
        <v>1137</v>
      </c>
      <c r="J395" s="2727" t="s">
        <v>22</v>
      </c>
      <c r="K395" s="2545" t="s">
        <v>1243</v>
      </c>
      <c r="L395" s="2135" t="s">
        <v>19</v>
      </c>
      <c r="M395" s="2136"/>
      <c r="N395" s="1992"/>
      <c r="O395" s="1186" t="s">
        <v>391</v>
      </c>
      <c r="P395" s="1187"/>
      <c r="Q395" s="1187"/>
      <c r="R395" s="1187"/>
      <c r="S395" s="1187"/>
      <c r="T395" s="1187"/>
      <c r="U395" s="1187"/>
      <c r="V395" s="1187"/>
      <c r="W395" s="1187"/>
      <c r="X395" s="1187"/>
      <c r="Y395" s="1187"/>
      <c r="Z395" s="1187"/>
      <c r="AA395" s="1187"/>
      <c r="AB395" s="1187"/>
      <c r="AC395" s="1187"/>
      <c r="AD395" s="1187"/>
      <c r="AE395" s="1187"/>
      <c r="AF395" s="2534">
        <v>5</v>
      </c>
      <c r="AG395" s="2535" t="s">
        <v>1072</v>
      </c>
      <c r="AH395" s="2535" t="s">
        <v>1163</v>
      </c>
      <c r="AI395" s="2724"/>
      <c r="AJ395" s="2535" t="s">
        <v>1074</v>
      </c>
      <c r="AK395" s="2535" t="s">
        <v>1074</v>
      </c>
      <c r="AL395" s="1994"/>
      <c r="AM395" s="1831"/>
      <c r="AN395" s="1831"/>
      <c r="AO395" s="1831"/>
      <c r="AP395" s="1831"/>
      <c r="AQ395" s="1831"/>
      <c r="AR395" s="1831"/>
      <c r="AS395" s="1831"/>
      <c r="AT395" s="1831"/>
      <c r="AU395" s="1831"/>
      <c r="AV395" s="1831"/>
      <c r="AW395" s="1831"/>
      <c r="AX395" s="1831"/>
      <c r="AY395" s="1831"/>
      <c r="AZ395" s="1831"/>
      <c r="BA395" s="1831"/>
      <c r="BB395" s="1831"/>
      <c r="BC395" s="1831"/>
      <c r="BD395" s="1831"/>
      <c r="BE395" s="1831"/>
      <c r="BF395" s="1831"/>
      <c r="BG395" s="1644"/>
    </row>
    <row customHeight="1" ht="11.25">
      <c r="A396" s="1175" t="s">
        <v>1036</v>
      </c>
      <c r="B396" s="1175"/>
      <c r="C396" s="1175"/>
      <c r="D396" s="1169"/>
      <c r="E396" s="1179"/>
      <c r="F396" s="1837"/>
      <c r="G396" s="1838"/>
      <c r="H396" s="2543" t="s">
        <v>1240</v>
      </c>
      <c r="I396" s="2544"/>
      <c r="J396" s="2727"/>
      <c r="K396" s="2545"/>
      <c r="L396" s="2135"/>
      <c r="M396" s="2136"/>
      <c r="N396" s="2536"/>
      <c r="O396" s="2537">
        <v>1</v>
      </c>
      <c r="P396" s="2538" t="s">
        <v>63</v>
      </c>
      <c r="Q396" s="2725" t="s">
        <v>1075</v>
      </c>
      <c r="R396" s="2726" t="s">
        <v>1076</v>
      </c>
      <c r="S396" s="2726" t="s">
        <v>106</v>
      </c>
      <c r="T396" s="2726" t="s">
        <v>106</v>
      </c>
      <c r="U396" s="2726" t="s">
        <v>107</v>
      </c>
      <c r="V396" s="2726" t="s">
        <v>1077</v>
      </c>
      <c r="W396" s="2726" t="s">
        <v>1078</v>
      </c>
      <c r="X396" s="2726" t="s">
        <v>1079</v>
      </c>
      <c r="Y396" s="2726" t="s">
        <v>1080</v>
      </c>
      <c r="Z396" s="1184"/>
      <c r="AA396" s="1185"/>
      <c r="AB396" s="1185"/>
      <c r="AC396" s="1189"/>
      <c r="AD396" s="1189"/>
      <c r="AE396" s="1190"/>
      <c r="AF396" s="2534"/>
      <c r="AG396" s="2535"/>
      <c r="AH396" s="2535"/>
      <c r="AI396" s="2724"/>
      <c r="AJ396" s="2535"/>
      <c r="AK396" s="2535"/>
      <c r="AL396" s="1994"/>
      <c r="AM396" s="1831"/>
      <c r="AN396" s="1831"/>
      <c r="AO396" s="1831"/>
      <c r="AP396" s="1831"/>
      <c r="AQ396" s="1831"/>
      <c r="AR396" s="1831"/>
      <c r="AS396" s="1831"/>
      <c r="AT396" s="1831"/>
      <c r="AU396" s="1831"/>
      <c r="AV396" s="1831"/>
      <c r="AW396" s="1831"/>
      <c r="AX396" s="1831"/>
      <c r="AY396" s="1831"/>
      <c r="AZ396" s="1831"/>
      <c r="BA396" s="1831"/>
      <c r="BB396" s="1831"/>
      <c r="BC396" s="1831"/>
      <c r="BD396" s="1831"/>
      <c r="BE396" s="1831"/>
      <c r="BF396" s="1831"/>
      <c r="BG396" s="1644"/>
    </row>
    <row customHeight="1" ht="11.25">
      <c r="A397" s="1175" t="s">
        <v>1036</v>
      </c>
      <c r="B397" s="1175"/>
      <c r="C397" s="1175"/>
      <c r="D397" s="1169"/>
      <c r="E397" s="1179"/>
      <c r="F397" s="1837"/>
      <c r="G397" s="1838"/>
      <c r="H397" s="2543" t="s">
        <v>1240</v>
      </c>
      <c r="I397" s="2544"/>
      <c r="J397" s="2727"/>
      <c r="K397" s="2545"/>
      <c r="L397" s="2135"/>
      <c r="M397" s="2136"/>
      <c r="N397" s="2536"/>
      <c r="O397" s="2537"/>
      <c r="P397" s="2539"/>
      <c r="Q397" s="2725"/>
      <c r="R397" s="2541"/>
      <c r="S397" s="2542"/>
      <c r="T397" s="2541"/>
      <c r="U397" s="2541"/>
      <c r="V397" s="2541"/>
      <c r="W397" s="2541"/>
      <c r="X397" s="2541"/>
      <c r="Y397" s="2541"/>
      <c r="Z397" s="1836"/>
      <c r="AA397" s="1802">
        <v>1</v>
      </c>
      <c r="AB397" s="1188" t="s">
        <v>1081</v>
      </c>
      <c r="AC397" s="1178">
        <v>74.57</v>
      </c>
      <c r="AD397" s="1188" t="str">
        <f>AB397</f>
        <v>      Амортизационные отчисления с выделением результатов переоценки основных средств и нематериальных активов</v>
      </c>
      <c r="AE397" s="1178">
        <v>74.57</v>
      </c>
      <c r="AF397" s="2534"/>
      <c r="AG397" s="2535"/>
      <c r="AH397" s="2535"/>
      <c r="AI397" s="2724"/>
      <c r="AJ397" s="2535"/>
      <c r="AK397" s="2535"/>
      <c r="AL397" s="1994"/>
      <c r="AM397" s="1831"/>
      <c r="AN397" s="1831"/>
      <c r="AO397" s="1831"/>
      <c r="AP397" s="1831"/>
      <c r="AQ397" s="1831"/>
      <c r="AR397" s="1831"/>
      <c r="AS397" s="1831"/>
      <c r="AT397" s="1831"/>
      <c r="AU397" s="1831"/>
      <c r="AV397" s="1831"/>
      <c r="AW397" s="1831"/>
      <c r="AX397" s="1831"/>
      <c r="AY397" s="1831"/>
      <c r="AZ397" s="1831"/>
      <c r="BA397" s="1831"/>
      <c r="BB397" s="1831"/>
      <c r="BC397" s="1831"/>
      <c r="BD397" s="1831"/>
      <c r="BE397" s="1831"/>
      <c r="BF397" s="1831"/>
      <c r="BG397" s="1644"/>
    </row>
    <row customHeight="1" ht="11.25">
      <c r="A398" s="1175" t="s">
        <v>1036</v>
      </c>
      <c r="B398" s="1175"/>
      <c r="C398" s="1175"/>
      <c r="D398" s="1169"/>
      <c r="E398" s="1179"/>
      <c r="F398" s="1838"/>
      <c r="G398" s="1838"/>
      <c r="H398" s="1838"/>
      <c r="I398" s="1838"/>
      <c r="J398" s="1838"/>
      <c r="K398" s="1838"/>
      <c r="L398" s="1838"/>
      <c r="M398" s="1838"/>
      <c r="N398" s="1838"/>
      <c r="O398" s="1838"/>
      <c r="P398" s="1838"/>
      <c r="Q398" s="1838"/>
      <c r="R398" s="1838"/>
      <c r="S398" s="1838"/>
      <c r="T398" s="1838"/>
      <c r="U398" s="1838"/>
      <c r="V398" s="1838"/>
      <c r="W398" s="1838"/>
      <c r="X398" s="1838"/>
      <c r="Y398" s="1838"/>
      <c r="Z398" s="692" t="s">
        <v>104</v>
      </c>
      <c r="AA398" s="1822" t="s">
        <v>103</v>
      </c>
      <c r="AB398" s="1188" t="s">
        <v>1091</v>
      </c>
      <c r="AC398" s="1178">
        <v>465.01</v>
      </c>
      <c r="AD398" s="1188" t="str">
        <f>AB398</f>
        <v>  Прочие собственные средства</v>
      </c>
      <c r="AE398" s="1178">
        <v>572.93</v>
      </c>
      <c r="AF398" s="2095"/>
      <c r="AG398" s="1767"/>
      <c r="AH398" s="1767"/>
      <c r="AI398" s="2728"/>
      <c r="AJ398" s="1767"/>
      <c r="AK398" s="1993"/>
      <c r="AL398" s="1994"/>
      <c r="AM398" s="1831"/>
      <c r="AN398" s="1831"/>
      <c r="AO398" s="1831"/>
      <c r="AP398" s="1831"/>
      <c r="AQ398" s="1831"/>
      <c r="AR398" s="1831"/>
      <c r="AS398" s="1831"/>
      <c r="AT398" s="1831"/>
      <c r="AU398" s="1831"/>
      <c r="AV398" s="1831"/>
      <c r="AW398" s="1831"/>
      <c r="AX398" s="1831"/>
      <c r="AY398" s="1831"/>
      <c r="AZ398" s="1831"/>
      <c r="BA398" s="1831"/>
      <c r="BB398" s="1831"/>
      <c r="BC398" s="1831"/>
      <c r="BD398" s="1831"/>
      <c r="BE398" s="1831"/>
      <c r="BF398" s="1831"/>
      <c r="BG398" s="1644"/>
    </row>
    <row customHeight="1" ht="11.25">
      <c r="A399" s="1175" t="s">
        <v>1036</v>
      </c>
      <c r="B399" s="1175"/>
      <c r="C399" s="1175"/>
      <c r="D399" s="1169"/>
      <c r="E399" s="1179"/>
      <c r="F399" s="1837"/>
      <c r="G399" s="1838"/>
      <c r="H399" s="2543" t="s">
        <v>1240</v>
      </c>
      <c r="I399" s="2544"/>
      <c r="J399" s="2727"/>
      <c r="K399" s="2545"/>
      <c r="L399" s="2135"/>
      <c r="M399" s="2136"/>
      <c r="N399" s="2536"/>
      <c r="O399" s="2537"/>
      <c r="P399" s="2540"/>
      <c r="Q399" s="2725"/>
      <c r="R399" s="2541"/>
      <c r="S399" s="2542"/>
      <c r="T399" s="2541"/>
      <c r="U399" s="2541"/>
      <c r="V399" s="2541"/>
      <c r="W399" s="2541"/>
      <c r="X399" s="2541"/>
      <c r="Y399" s="2541"/>
      <c r="Z399" s="1184"/>
      <c r="AA399" s="1185"/>
      <c r="AB399" s="1250" t="s">
        <v>1082</v>
      </c>
      <c r="AC399" s="1189"/>
      <c r="AD399" s="1189"/>
      <c r="AE399" s="1191"/>
      <c r="AF399" s="2534"/>
      <c r="AG399" s="2535"/>
      <c r="AH399" s="2535"/>
      <c r="AI399" s="2724"/>
      <c r="AJ399" s="2535"/>
      <c r="AK399" s="2535"/>
      <c r="AL399" s="1994"/>
      <c r="AM399" s="1831"/>
      <c r="AN399" s="1831"/>
      <c r="AO399" s="1831"/>
      <c r="AP399" s="1831"/>
      <c r="AQ399" s="1831"/>
      <c r="AR399" s="1831"/>
      <c r="AS399" s="1831"/>
      <c r="AT399" s="1831"/>
      <c r="AU399" s="1831"/>
      <c r="AV399" s="1831"/>
      <c r="AW399" s="1831"/>
      <c r="AX399" s="1831"/>
      <c r="AY399" s="1831"/>
      <c r="AZ399" s="1831"/>
      <c r="BA399" s="1831"/>
      <c r="BB399" s="1831"/>
      <c r="BC399" s="1831"/>
      <c r="BD399" s="1831"/>
      <c r="BE399" s="1831"/>
      <c r="BF399" s="1831"/>
      <c r="BG399" s="1644"/>
    </row>
    <row customHeight="1" ht="11.25">
      <c r="A400" s="1175" t="s">
        <v>1036</v>
      </c>
      <c r="B400" s="1175"/>
      <c r="C400" s="1175"/>
      <c r="D400" s="1169"/>
      <c r="E400" s="1179"/>
      <c r="F400" s="1837"/>
      <c r="G400" s="1838"/>
      <c r="H400" s="2543" t="s">
        <v>1240</v>
      </c>
      <c r="I400" s="2544"/>
      <c r="J400" s="2727"/>
      <c r="K400" s="2545"/>
      <c r="L400" s="2135"/>
      <c r="M400" s="2136"/>
      <c r="N400" s="1184"/>
      <c r="O400" s="1185"/>
      <c r="P400" s="1177" t="s">
        <v>1083</v>
      </c>
      <c r="Q400" s="1185"/>
      <c r="R400" s="1185"/>
      <c r="S400" s="1185"/>
      <c r="T400" s="1185"/>
      <c r="U400" s="1185"/>
      <c r="V400" s="1185"/>
      <c r="W400" s="1185"/>
      <c r="X400" s="1185"/>
      <c r="Y400" s="1185"/>
      <c r="Z400" s="1185"/>
      <c r="AA400" s="1185"/>
      <c r="AB400" s="1185"/>
      <c r="AC400" s="1185"/>
      <c r="AD400" s="1185"/>
      <c r="AE400" s="1192"/>
      <c r="AF400" s="2534"/>
      <c r="AG400" s="2535"/>
      <c r="AH400" s="2535"/>
      <c r="AI400" s="2724"/>
      <c r="AJ400" s="2535"/>
      <c r="AK400" s="2535"/>
      <c r="AL400" s="1994"/>
      <c r="AM400" s="1831"/>
      <c r="AN400" s="1831"/>
      <c r="AO400" s="1831"/>
      <c r="AP400" s="1831"/>
      <c r="AQ400" s="1831"/>
      <c r="AR400" s="1831"/>
      <c r="AS400" s="1831"/>
      <c r="AT400" s="1831"/>
      <c r="AU400" s="1831"/>
      <c r="AV400" s="1831"/>
      <c r="AW400" s="1831"/>
      <c r="AX400" s="1831"/>
      <c r="AY400" s="1831"/>
      <c r="AZ400" s="1831"/>
      <c r="BA400" s="1831"/>
      <c r="BB400" s="1831"/>
      <c r="BC400" s="1831"/>
      <c r="BD400" s="1831"/>
      <c r="BE400" s="1831"/>
      <c r="BF400" s="1831"/>
      <c r="BG400" s="1644"/>
    </row>
    <row customHeight="1" ht="11.25">
      <c r="A401" s="1175" t="s">
        <v>1036</v>
      </c>
      <c r="B401" s="1175" t="s">
        <v>22</v>
      </c>
      <c r="C401" s="1175"/>
      <c r="D401" s="1169"/>
      <c r="E401" s="1179"/>
      <c r="F401" s="1837"/>
      <c r="G401" s="692" t="s">
        <v>104</v>
      </c>
      <c r="H401" s="2543" t="s">
        <v>1244</v>
      </c>
      <c r="I401" s="2544" t="s">
        <v>1137</v>
      </c>
      <c r="J401" s="2727" t="s">
        <v>22</v>
      </c>
      <c r="K401" s="2545" t="s">
        <v>1245</v>
      </c>
      <c r="L401" s="2135" t="s">
        <v>19</v>
      </c>
      <c r="M401" s="2136"/>
      <c r="N401" s="1992"/>
      <c r="O401" s="1186" t="s">
        <v>391</v>
      </c>
      <c r="P401" s="1187"/>
      <c r="Q401" s="1187"/>
      <c r="R401" s="1187"/>
      <c r="S401" s="1187"/>
      <c r="T401" s="1187"/>
      <c r="U401" s="1187"/>
      <c r="V401" s="1187"/>
      <c r="W401" s="1187"/>
      <c r="X401" s="1187"/>
      <c r="Y401" s="1187"/>
      <c r="Z401" s="1187"/>
      <c r="AA401" s="1187"/>
      <c r="AB401" s="1187"/>
      <c r="AC401" s="1187"/>
      <c r="AD401" s="1187"/>
      <c r="AE401" s="1187"/>
      <c r="AF401" s="2534">
        <v>5</v>
      </c>
      <c r="AG401" s="2535" t="s">
        <v>1072</v>
      </c>
      <c r="AH401" s="2535" t="s">
        <v>1163</v>
      </c>
      <c r="AI401" s="2906">
        <v>1</v>
      </c>
      <c r="AJ401" s="2535" t="s">
        <v>1072</v>
      </c>
      <c r="AK401" s="2535" t="s">
        <v>1085</v>
      </c>
      <c r="AL401" s="1994"/>
      <c r="AM401" s="1831"/>
      <c r="AN401" s="1831"/>
      <c r="AO401" s="1831"/>
      <c r="AP401" s="1831"/>
      <c r="AQ401" s="1831"/>
      <c r="AR401" s="1831"/>
      <c r="AS401" s="1831"/>
      <c r="AT401" s="1831"/>
      <c r="AU401" s="1831"/>
      <c r="AV401" s="1831"/>
      <c r="AW401" s="1831"/>
      <c r="AX401" s="1831"/>
      <c r="AY401" s="1831"/>
      <c r="AZ401" s="1831"/>
      <c r="BA401" s="1831"/>
      <c r="BB401" s="1831"/>
      <c r="BC401" s="1831"/>
      <c r="BD401" s="1831"/>
      <c r="BE401" s="1831"/>
      <c r="BF401" s="1831"/>
      <c r="BG401" s="1644"/>
    </row>
    <row customHeight="1" ht="11.25">
      <c r="A402" s="1175" t="s">
        <v>1036</v>
      </c>
      <c r="B402" s="1175"/>
      <c r="C402" s="1175"/>
      <c r="D402" s="1169"/>
      <c r="E402" s="1179"/>
      <c r="F402" s="1837"/>
      <c r="G402" s="1838"/>
      <c r="H402" s="2543" t="s">
        <v>1242</v>
      </c>
      <c r="I402" s="2544"/>
      <c r="J402" s="2727"/>
      <c r="K402" s="2545"/>
      <c r="L402" s="2135"/>
      <c r="M402" s="2136"/>
      <c r="N402" s="2536"/>
      <c r="O402" s="2537">
        <v>1</v>
      </c>
      <c r="P402" s="2538" t="s">
        <v>19</v>
      </c>
      <c r="Q402" s="2541" t="s">
        <v>22</v>
      </c>
      <c r="R402" s="2541" t="s">
        <v>22</v>
      </c>
      <c r="S402" s="2541" t="s">
        <v>22</v>
      </c>
      <c r="T402" s="2541" t="s">
        <v>22</v>
      </c>
      <c r="U402" s="2541" t="s">
        <v>22</v>
      </c>
      <c r="V402" s="2541" t="s">
        <v>22</v>
      </c>
      <c r="W402" s="2541" t="s">
        <v>22</v>
      </c>
      <c r="X402" s="2541" t="s">
        <v>22</v>
      </c>
      <c r="Y402" s="2541"/>
      <c r="Z402" s="1184"/>
      <c r="AA402" s="1185"/>
      <c r="AB402" s="1185"/>
      <c r="AC402" s="1189"/>
      <c r="AD402" s="1189"/>
      <c r="AE402" s="1190"/>
      <c r="AF402" s="2534"/>
      <c r="AG402" s="2535"/>
      <c r="AH402" s="2535"/>
      <c r="AI402" s="2906"/>
      <c r="AJ402" s="2535"/>
      <c r="AK402" s="2535"/>
      <c r="AL402" s="1994"/>
      <c r="AM402" s="1831"/>
      <c r="AN402" s="1831"/>
      <c r="AO402" s="1831"/>
      <c r="AP402" s="1831"/>
      <c r="AQ402" s="1831"/>
      <c r="AR402" s="1831"/>
      <c r="AS402" s="1831"/>
      <c r="AT402" s="1831"/>
      <c r="AU402" s="1831"/>
      <c r="AV402" s="1831"/>
      <c r="AW402" s="1831"/>
      <c r="AX402" s="1831"/>
      <c r="AY402" s="1831"/>
      <c r="AZ402" s="1831"/>
      <c r="BA402" s="1831"/>
      <c r="BB402" s="1831"/>
      <c r="BC402" s="1831"/>
      <c r="BD402" s="1831"/>
      <c r="BE402" s="1831"/>
      <c r="BF402" s="1831"/>
      <c r="BG402" s="1644"/>
    </row>
    <row customHeight="1" ht="11.25">
      <c r="A403" s="1175" t="s">
        <v>1036</v>
      </c>
      <c r="B403" s="1175"/>
      <c r="C403" s="1175"/>
      <c r="D403" s="1169"/>
      <c r="E403" s="1179"/>
      <c r="F403" s="1837"/>
      <c r="G403" s="1838"/>
      <c r="H403" s="2543" t="s">
        <v>1242</v>
      </c>
      <c r="I403" s="2544"/>
      <c r="J403" s="2727"/>
      <c r="K403" s="2545"/>
      <c r="L403" s="2135"/>
      <c r="M403" s="2136"/>
      <c r="N403" s="2536"/>
      <c r="O403" s="2537"/>
      <c r="P403" s="2539"/>
      <c r="Q403" s="2541"/>
      <c r="R403" s="2541"/>
      <c r="S403" s="2542"/>
      <c r="T403" s="2541"/>
      <c r="U403" s="2541"/>
      <c r="V403" s="2541"/>
      <c r="W403" s="2541"/>
      <c r="X403" s="2541"/>
      <c r="Y403" s="2541"/>
      <c r="Z403" s="1836"/>
      <c r="AA403" s="1802">
        <v>1</v>
      </c>
      <c r="AB403" s="1188" t="s">
        <v>1081</v>
      </c>
      <c r="AC403" s="1178">
        <v>1893.48</v>
      </c>
      <c r="AD403" s="1188" t="str">
        <f>AB403</f>
        <v>      Амортизационные отчисления с выделением результатов переоценки основных средств и нематериальных активов</v>
      </c>
      <c r="AE403" s="1178">
        <v>1770.07</v>
      </c>
      <c r="AF403" s="2534"/>
      <c r="AG403" s="2535"/>
      <c r="AH403" s="2535"/>
      <c r="AI403" s="2906"/>
      <c r="AJ403" s="2535"/>
      <c r="AK403" s="2535"/>
      <c r="AL403" s="1994"/>
      <c r="AM403" s="1831"/>
      <c r="AN403" s="1831"/>
      <c r="AO403" s="1831"/>
      <c r="AP403" s="1831"/>
      <c r="AQ403" s="1831"/>
      <c r="AR403" s="1831"/>
      <c r="AS403" s="1831"/>
      <c r="AT403" s="1831"/>
      <c r="AU403" s="1831"/>
      <c r="AV403" s="1831"/>
      <c r="AW403" s="1831"/>
      <c r="AX403" s="1831"/>
      <c r="AY403" s="1831"/>
      <c r="AZ403" s="1831"/>
      <c r="BA403" s="1831"/>
      <c r="BB403" s="1831"/>
      <c r="BC403" s="1831"/>
      <c r="BD403" s="1831"/>
      <c r="BE403" s="1831"/>
      <c r="BF403" s="1831"/>
      <c r="BG403" s="1644"/>
    </row>
    <row customHeight="1" ht="11.25">
      <c r="A404" s="1175" t="s">
        <v>1036</v>
      </c>
      <c r="B404" s="1175"/>
      <c r="C404" s="1175"/>
      <c r="D404" s="1169"/>
      <c r="E404" s="1179"/>
      <c r="F404" s="1838"/>
      <c r="G404" s="1838"/>
      <c r="H404" s="1838"/>
      <c r="I404" s="1838"/>
      <c r="J404" s="1838"/>
      <c r="K404" s="1838"/>
      <c r="L404" s="1838"/>
      <c r="M404" s="1838"/>
      <c r="N404" s="1838"/>
      <c r="O404" s="1838"/>
      <c r="P404" s="1838"/>
      <c r="Q404" s="1838"/>
      <c r="R404" s="1838"/>
      <c r="S404" s="1838"/>
      <c r="T404" s="1838"/>
      <c r="U404" s="1838"/>
      <c r="V404" s="1838"/>
      <c r="W404" s="1838"/>
      <c r="X404" s="1838"/>
      <c r="Y404" s="1838"/>
      <c r="Z404" s="692" t="s">
        <v>104</v>
      </c>
      <c r="AA404" s="1822" t="s">
        <v>103</v>
      </c>
      <c r="AB404" s="1188" t="s">
        <v>1091</v>
      </c>
      <c r="AC404" s="1178">
        <v>11807.51</v>
      </c>
      <c r="AD404" s="1188" t="str">
        <f>AB404</f>
        <v>  Прочие собственные средства</v>
      </c>
      <c r="AE404" s="1178">
        <v>12504.24</v>
      </c>
      <c r="AF404" s="2095"/>
      <c r="AG404" s="1767"/>
      <c r="AH404" s="1767"/>
      <c r="AI404" s="2908"/>
      <c r="AJ404" s="1767"/>
      <c r="AK404" s="1993"/>
      <c r="AL404" s="1994"/>
      <c r="AM404" s="1831"/>
      <c r="AN404" s="1831"/>
      <c r="AO404" s="1831"/>
      <c r="AP404" s="1831"/>
      <c r="AQ404" s="1831"/>
      <c r="AR404" s="1831"/>
      <c r="AS404" s="1831"/>
      <c r="AT404" s="1831"/>
      <c r="AU404" s="1831"/>
      <c r="AV404" s="1831"/>
      <c r="AW404" s="1831"/>
      <c r="AX404" s="1831"/>
      <c r="AY404" s="1831"/>
      <c r="AZ404" s="1831"/>
      <c r="BA404" s="1831"/>
      <c r="BB404" s="1831"/>
      <c r="BC404" s="1831"/>
      <c r="BD404" s="1831"/>
      <c r="BE404" s="1831"/>
      <c r="BF404" s="1831"/>
      <c r="BG404" s="1644"/>
    </row>
    <row customHeight="1" ht="11.25">
      <c r="A405" s="1175" t="s">
        <v>1036</v>
      </c>
      <c r="B405" s="1175"/>
      <c r="C405" s="1175"/>
      <c r="D405" s="1169"/>
      <c r="E405" s="1179"/>
      <c r="F405" s="1837"/>
      <c r="G405" s="1838"/>
      <c r="H405" s="2543" t="s">
        <v>1242</v>
      </c>
      <c r="I405" s="2544"/>
      <c r="J405" s="2727"/>
      <c r="K405" s="2545"/>
      <c r="L405" s="2135"/>
      <c r="M405" s="2136"/>
      <c r="N405" s="2536"/>
      <c r="O405" s="2537"/>
      <c r="P405" s="2540"/>
      <c r="Q405" s="2541"/>
      <c r="R405" s="2541"/>
      <c r="S405" s="2542"/>
      <c r="T405" s="2541"/>
      <c r="U405" s="2541"/>
      <c r="V405" s="2541"/>
      <c r="W405" s="2541"/>
      <c r="X405" s="2541"/>
      <c r="Y405" s="2541"/>
      <c r="Z405" s="1184"/>
      <c r="AA405" s="1185"/>
      <c r="AB405" s="1250" t="s">
        <v>1082</v>
      </c>
      <c r="AC405" s="1189"/>
      <c r="AD405" s="1189"/>
      <c r="AE405" s="1191"/>
      <c r="AF405" s="2534"/>
      <c r="AG405" s="2535"/>
      <c r="AH405" s="2535"/>
      <c r="AI405" s="2906"/>
      <c r="AJ405" s="2535"/>
      <c r="AK405" s="2535"/>
      <c r="AL405" s="1994"/>
      <c r="AM405" s="1831"/>
      <c r="AN405" s="1831"/>
      <c r="AO405" s="1831"/>
      <c r="AP405" s="1831"/>
      <c r="AQ405" s="1831"/>
      <c r="AR405" s="1831"/>
      <c r="AS405" s="1831"/>
      <c r="AT405" s="1831"/>
      <c r="AU405" s="1831"/>
      <c r="AV405" s="1831"/>
      <c r="AW405" s="1831"/>
      <c r="AX405" s="1831"/>
      <c r="AY405" s="1831"/>
      <c r="AZ405" s="1831"/>
      <c r="BA405" s="1831"/>
      <c r="BB405" s="1831"/>
      <c r="BC405" s="1831"/>
      <c r="BD405" s="1831"/>
      <c r="BE405" s="1831"/>
      <c r="BF405" s="1831"/>
      <c r="BG405" s="1644"/>
    </row>
    <row customHeight="1" ht="11.25">
      <c r="A406" s="1175" t="s">
        <v>1036</v>
      </c>
      <c r="B406" s="1175"/>
      <c r="C406" s="1175"/>
      <c r="D406" s="1169"/>
      <c r="E406" s="1179"/>
      <c r="F406" s="1837"/>
      <c r="G406" s="1838"/>
      <c r="H406" s="2543" t="s">
        <v>1242</v>
      </c>
      <c r="I406" s="2544"/>
      <c r="J406" s="2727"/>
      <c r="K406" s="2545"/>
      <c r="L406" s="2135"/>
      <c r="M406" s="2136"/>
      <c r="N406" s="1184"/>
      <c r="O406" s="1185"/>
      <c r="P406" s="1177" t="s">
        <v>1083</v>
      </c>
      <c r="Q406" s="1185"/>
      <c r="R406" s="1185"/>
      <c r="S406" s="1185"/>
      <c r="T406" s="1185"/>
      <c r="U406" s="1185"/>
      <c r="V406" s="1185"/>
      <c r="W406" s="1185"/>
      <c r="X406" s="1185"/>
      <c r="Y406" s="1185"/>
      <c r="Z406" s="1185"/>
      <c r="AA406" s="1185"/>
      <c r="AB406" s="1185"/>
      <c r="AC406" s="1185"/>
      <c r="AD406" s="1185"/>
      <c r="AE406" s="1192"/>
      <c r="AF406" s="2534"/>
      <c r="AG406" s="2535"/>
      <c r="AH406" s="2535"/>
      <c r="AI406" s="2906"/>
      <c r="AJ406" s="2535"/>
      <c r="AK406" s="2535"/>
      <c r="AL406" s="1994"/>
      <c r="AM406" s="1831"/>
      <c r="AN406" s="1831"/>
      <c r="AO406" s="1831"/>
      <c r="AP406" s="1831"/>
      <c r="AQ406" s="1831"/>
      <c r="AR406" s="1831"/>
      <c r="AS406" s="1831"/>
      <c r="AT406" s="1831"/>
      <c r="AU406" s="1831"/>
      <c r="AV406" s="1831"/>
      <c r="AW406" s="1831"/>
      <c r="AX406" s="1831"/>
      <c r="AY406" s="1831"/>
      <c r="AZ406" s="1831"/>
      <c r="BA406" s="1831"/>
      <c r="BB406" s="1831"/>
      <c r="BC406" s="1831"/>
      <c r="BD406" s="1831"/>
      <c r="BE406" s="1831"/>
      <c r="BF406" s="1831"/>
      <c r="BG406" s="1644"/>
    </row>
    <row customHeight="1" ht="11.25">
      <c r="A407" s="1175" t="s">
        <v>1036</v>
      </c>
      <c r="B407" s="1175" t="s">
        <v>22</v>
      </c>
      <c r="C407" s="1175"/>
      <c r="D407" s="1169"/>
      <c r="E407" s="1179"/>
      <c r="F407" s="1837"/>
      <c r="G407" s="692" t="s">
        <v>104</v>
      </c>
      <c r="H407" s="2543" t="s">
        <v>1246</v>
      </c>
      <c r="I407" s="2544" t="s">
        <v>1087</v>
      </c>
      <c r="J407" s="2727" t="s">
        <v>22</v>
      </c>
      <c r="K407" s="2545" t="s">
        <v>1247</v>
      </c>
      <c r="L407" s="2135" t="s">
        <v>19</v>
      </c>
      <c r="M407" s="2136"/>
      <c r="N407" s="1992"/>
      <c r="O407" s="1186" t="s">
        <v>391</v>
      </c>
      <c r="P407" s="1187"/>
      <c r="Q407" s="1187"/>
      <c r="R407" s="1187"/>
      <c r="S407" s="1187"/>
      <c r="T407" s="1187"/>
      <c r="U407" s="1187"/>
      <c r="V407" s="1187"/>
      <c r="W407" s="1187"/>
      <c r="X407" s="1187"/>
      <c r="Y407" s="1187"/>
      <c r="Z407" s="1187"/>
      <c r="AA407" s="1187"/>
      <c r="AB407" s="1187"/>
      <c r="AC407" s="1187"/>
      <c r="AD407" s="1187"/>
      <c r="AE407" s="1187"/>
      <c r="AF407" s="2534">
        <v>2</v>
      </c>
      <c r="AG407" s="2535" t="s">
        <v>1072</v>
      </c>
      <c r="AH407" s="2535" t="s">
        <v>1073</v>
      </c>
      <c r="AI407" s="2724"/>
      <c r="AJ407" s="2535" t="s">
        <v>1074</v>
      </c>
      <c r="AK407" s="2535" t="s">
        <v>1074</v>
      </c>
      <c r="AL407" s="1994"/>
      <c r="AM407" s="1831"/>
      <c r="AN407" s="1831"/>
      <c r="AO407" s="1831"/>
      <c r="AP407" s="1831"/>
      <c r="AQ407" s="1831"/>
      <c r="AR407" s="1831"/>
      <c r="AS407" s="1831"/>
      <c r="AT407" s="1831"/>
      <c r="AU407" s="1831"/>
      <c r="AV407" s="1831"/>
      <c r="AW407" s="1831"/>
      <c r="AX407" s="1831"/>
      <c r="AY407" s="1831"/>
      <c r="AZ407" s="1831"/>
      <c r="BA407" s="1831"/>
      <c r="BB407" s="1831"/>
      <c r="BC407" s="1831"/>
      <c r="BD407" s="1831"/>
      <c r="BE407" s="1831"/>
      <c r="BF407" s="1831"/>
      <c r="BG407" s="1644"/>
    </row>
    <row customHeight="1" ht="11.25">
      <c r="A408" s="1175" t="s">
        <v>1036</v>
      </c>
      <c r="B408" s="1175"/>
      <c r="C408" s="1175"/>
      <c r="D408" s="1169"/>
      <c r="E408" s="1179"/>
      <c r="F408" s="1837"/>
      <c r="G408" s="1838"/>
      <c r="H408" s="2543" t="s">
        <v>1244</v>
      </c>
      <c r="I408" s="2544"/>
      <c r="J408" s="2727"/>
      <c r="K408" s="2545"/>
      <c r="L408" s="2135"/>
      <c r="M408" s="2136"/>
      <c r="N408" s="2536"/>
      <c r="O408" s="2537">
        <v>1</v>
      </c>
      <c r="P408" s="2538" t="s">
        <v>63</v>
      </c>
      <c r="Q408" s="2725" t="s">
        <v>1075</v>
      </c>
      <c r="R408" s="2726" t="s">
        <v>1076</v>
      </c>
      <c r="S408" s="2726" t="s">
        <v>106</v>
      </c>
      <c r="T408" s="2726" t="s">
        <v>106</v>
      </c>
      <c r="U408" s="2726" t="s">
        <v>107</v>
      </c>
      <c r="V408" s="2726" t="s">
        <v>1077</v>
      </c>
      <c r="W408" s="2726" t="s">
        <v>1078</v>
      </c>
      <c r="X408" s="2726" t="s">
        <v>1079</v>
      </c>
      <c r="Y408" s="2726" t="s">
        <v>1080</v>
      </c>
      <c r="Z408" s="1184"/>
      <c r="AA408" s="1185"/>
      <c r="AB408" s="1185"/>
      <c r="AC408" s="1189"/>
      <c r="AD408" s="1189"/>
      <c r="AE408" s="1190"/>
      <c r="AF408" s="2534"/>
      <c r="AG408" s="2535"/>
      <c r="AH408" s="2535"/>
      <c r="AI408" s="2724"/>
      <c r="AJ408" s="2535"/>
      <c r="AK408" s="2535"/>
      <c r="AL408" s="1994"/>
      <c r="AM408" s="1831"/>
      <c r="AN408" s="1831"/>
      <c r="AO408" s="1831"/>
      <c r="AP408" s="1831"/>
      <c r="AQ408" s="1831"/>
      <c r="AR408" s="1831"/>
      <c r="AS408" s="1831"/>
      <c r="AT408" s="1831"/>
      <c r="AU408" s="1831"/>
      <c r="AV408" s="1831"/>
      <c r="AW408" s="1831"/>
      <c r="AX408" s="1831"/>
      <c r="AY408" s="1831"/>
      <c r="AZ408" s="1831"/>
      <c r="BA408" s="1831"/>
      <c r="BB408" s="1831"/>
      <c r="BC408" s="1831"/>
      <c r="BD408" s="1831"/>
      <c r="BE408" s="1831"/>
      <c r="BF408" s="1831"/>
      <c r="BG408" s="1644"/>
    </row>
    <row customHeight="1" ht="11.25">
      <c r="A409" s="1175" t="s">
        <v>1036</v>
      </c>
      <c r="B409" s="1175"/>
      <c r="C409" s="1175"/>
      <c r="D409" s="1169"/>
      <c r="E409" s="1179"/>
      <c r="F409" s="1837"/>
      <c r="G409" s="1838"/>
      <c r="H409" s="2543" t="s">
        <v>1244</v>
      </c>
      <c r="I409" s="2544"/>
      <c r="J409" s="2727"/>
      <c r="K409" s="2545"/>
      <c r="L409" s="2135"/>
      <c r="M409" s="2136"/>
      <c r="N409" s="2536"/>
      <c r="O409" s="2537"/>
      <c r="P409" s="2539"/>
      <c r="Q409" s="2725"/>
      <c r="R409" s="2541"/>
      <c r="S409" s="2542"/>
      <c r="T409" s="2541"/>
      <c r="U409" s="2541"/>
      <c r="V409" s="2541"/>
      <c r="W409" s="2541"/>
      <c r="X409" s="2541"/>
      <c r="Y409" s="2541"/>
      <c r="Z409" s="1836"/>
      <c r="AA409" s="1802">
        <v>1</v>
      </c>
      <c r="AB409" s="1188" t="s">
        <v>1081</v>
      </c>
      <c r="AC409" s="1178">
        <v>4075.43</v>
      </c>
      <c r="AD409" s="1188" t="str">
        <f>AB409</f>
        <v>      Амортизационные отчисления с выделением результатов переоценки основных средств и нематериальных активов</v>
      </c>
      <c r="AE409" s="1178">
        <v>68.89</v>
      </c>
      <c r="AF409" s="2534"/>
      <c r="AG409" s="2535"/>
      <c r="AH409" s="2535"/>
      <c r="AI409" s="2724"/>
      <c r="AJ409" s="2535"/>
      <c r="AK409" s="2535"/>
      <c r="AL409" s="1994"/>
      <c r="AM409" s="1831"/>
      <c r="AN409" s="1831"/>
      <c r="AO409" s="1831"/>
      <c r="AP409" s="1831"/>
      <c r="AQ409" s="1831"/>
      <c r="AR409" s="1831"/>
      <c r="AS409" s="1831"/>
      <c r="AT409" s="1831"/>
      <c r="AU409" s="1831"/>
      <c r="AV409" s="1831"/>
      <c r="AW409" s="1831"/>
      <c r="AX409" s="1831"/>
      <c r="AY409" s="1831"/>
      <c r="AZ409" s="1831"/>
      <c r="BA409" s="1831"/>
      <c r="BB409" s="1831"/>
      <c r="BC409" s="1831"/>
      <c r="BD409" s="1831"/>
      <c r="BE409" s="1831"/>
      <c r="BF409" s="1831"/>
      <c r="BG409" s="1644"/>
    </row>
    <row customHeight="1" ht="11.25">
      <c r="A410" s="1175" t="s">
        <v>1036</v>
      </c>
      <c r="B410" s="1175"/>
      <c r="C410" s="1175"/>
      <c r="D410" s="1169"/>
      <c r="E410" s="1179"/>
      <c r="F410" s="1838"/>
      <c r="G410" s="1838"/>
      <c r="H410" s="1838"/>
      <c r="I410" s="1838"/>
      <c r="J410" s="1838"/>
      <c r="K410" s="1838"/>
      <c r="L410" s="1838"/>
      <c r="M410" s="1838"/>
      <c r="N410" s="1838"/>
      <c r="O410" s="1838"/>
      <c r="P410" s="1838"/>
      <c r="Q410" s="1838"/>
      <c r="R410" s="1838"/>
      <c r="S410" s="1838"/>
      <c r="T410" s="1838"/>
      <c r="U410" s="1838"/>
      <c r="V410" s="1838"/>
      <c r="W410" s="1838"/>
      <c r="X410" s="1838"/>
      <c r="Y410" s="1838"/>
      <c r="Z410" s="692" t="s">
        <v>104</v>
      </c>
      <c r="AA410" s="1822" t="s">
        <v>103</v>
      </c>
      <c r="AB410" s="1188" t="s">
        <v>1091</v>
      </c>
      <c r="AC410" s="1178">
        <v>25413.96</v>
      </c>
      <c r="AD410" s="1188" t="str">
        <f>AB410</f>
        <v>  Прочие собственные средства</v>
      </c>
      <c r="AE410" s="1178">
        <v>0</v>
      </c>
      <c r="AF410" s="2095"/>
      <c r="AG410" s="1767"/>
      <c r="AH410" s="1767"/>
      <c r="AI410" s="2728"/>
      <c r="AJ410" s="1767"/>
      <c r="AK410" s="1993"/>
      <c r="AL410" s="1994"/>
      <c r="AM410" s="1831"/>
      <c r="AN410" s="1831"/>
      <c r="AO410" s="1831"/>
      <c r="AP410" s="1831"/>
      <c r="AQ410" s="1831"/>
      <c r="AR410" s="1831"/>
      <c r="AS410" s="1831"/>
      <c r="AT410" s="1831"/>
      <c r="AU410" s="1831"/>
      <c r="AV410" s="1831"/>
      <c r="AW410" s="1831"/>
      <c r="AX410" s="1831"/>
      <c r="AY410" s="1831"/>
      <c r="AZ410" s="1831"/>
      <c r="BA410" s="1831"/>
      <c r="BB410" s="1831"/>
      <c r="BC410" s="1831"/>
      <c r="BD410" s="1831"/>
      <c r="BE410" s="1831"/>
      <c r="BF410" s="1831"/>
      <c r="BG410" s="1644"/>
    </row>
    <row customHeight="1" ht="11.25">
      <c r="A411" s="1175" t="s">
        <v>1036</v>
      </c>
      <c r="B411" s="1175"/>
      <c r="C411" s="1175"/>
      <c r="D411" s="1169"/>
      <c r="E411" s="1179"/>
      <c r="F411" s="1837"/>
      <c r="G411" s="1838"/>
      <c r="H411" s="2543" t="s">
        <v>1244</v>
      </c>
      <c r="I411" s="2544"/>
      <c r="J411" s="2727"/>
      <c r="K411" s="2545"/>
      <c r="L411" s="2135"/>
      <c r="M411" s="2136"/>
      <c r="N411" s="2536"/>
      <c r="O411" s="2537"/>
      <c r="P411" s="2540"/>
      <c r="Q411" s="2725"/>
      <c r="R411" s="2541"/>
      <c r="S411" s="2542"/>
      <c r="T411" s="2541"/>
      <c r="U411" s="2541"/>
      <c r="V411" s="2541"/>
      <c r="W411" s="2541"/>
      <c r="X411" s="2541"/>
      <c r="Y411" s="2541"/>
      <c r="Z411" s="1184"/>
      <c r="AA411" s="1185"/>
      <c r="AB411" s="1250" t="s">
        <v>1082</v>
      </c>
      <c r="AC411" s="1189"/>
      <c r="AD411" s="1189"/>
      <c r="AE411" s="1191"/>
      <c r="AF411" s="2534"/>
      <c r="AG411" s="2535"/>
      <c r="AH411" s="2535"/>
      <c r="AI411" s="2724"/>
      <c r="AJ411" s="2535"/>
      <c r="AK411" s="2535"/>
      <c r="AL411" s="1994"/>
      <c r="AM411" s="1831"/>
      <c r="AN411" s="1831"/>
      <c r="AO411" s="1831"/>
      <c r="AP411" s="1831"/>
      <c r="AQ411" s="1831"/>
      <c r="AR411" s="1831"/>
      <c r="AS411" s="1831"/>
      <c r="AT411" s="1831"/>
      <c r="AU411" s="1831"/>
      <c r="AV411" s="1831"/>
      <c r="AW411" s="1831"/>
      <c r="AX411" s="1831"/>
      <c r="AY411" s="1831"/>
      <c r="AZ411" s="1831"/>
      <c r="BA411" s="1831"/>
      <c r="BB411" s="1831"/>
      <c r="BC411" s="1831"/>
      <c r="BD411" s="1831"/>
      <c r="BE411" s="1831"/>
      <c r="BF411" s="1831"/>
      <c r="BG411" s="1644"/>
    </row>
    <row customHeight="1" ht="11.25">
      <c r="A412" s="1175" t="s">
        <v>1036</v>
      </c>
      <c r="B412" s="1175"/>
      <c r="C412" s="1175"/>
      <c r="D412" s="1169"/>
      <c r="E412" s="1179"/>
      <c r="F412" s="1837"/>
      <c r="G412" s="1838"/>
      <c r="H412" s="2543" t="s">
        <v>1244</v>
      </c>
      <c r="I412" s="2544"/>
      <c r="J412" s="2727"/>
      <c r="K412" s="2545"/>
      <c r="L412" s="2135"/>
      <c r="M412" s="2136"/>
      <c r="N412" s="1184"/>
      <c r="O412" s="1185"/>
      <c r="P412" s="1177" t="s">
        <v>1083</v>
      </c>
      <c r="Q412" s="1185"/>
      <c r="R412" s="1185"/>
      <c r="S412" s="1185"/>
      <c r="T412" s="1185"/>
      <c r="U412" s="1185"/>
      <c r="V412" s="1185"/>
      <c r="W412" s="1185"/>
      <c r="X412" s="1185"/>
      <c r="Y412" s="1185"/>
      <c r="Z412" s="1185"/>
      <c r="AA412" s="1185"/>
      <c r="AB412" s="1185"/>
      <c r="AC412" s="1185"/>
      <c r="AD412" s="1185"/>
      <c r="AE412" s="1192"/>
      <c r="AF412" s="2534"/>
      <c r="AG412" s="2535"/>
      <c r="AH412" s="2535"/>
      <c r="AI412" s="2724"/>
      <c r="AJ412" s="2535"/>
      <c r="AK412" s="2535"/>
      <c r="AL412" s="1994"/>
      <c r="AM412" s="1831"/>
      <c r="AN412" s="1831"/>
      <c r="AO412" s="1831"/>
      <c r="AP412" s="1831"/>
      <c r="AQ412" s="1831"/>
      <c r="AR412" s="1831"/>
      <c r="AS412" s="1831"/>
      <c r="AT412" s="1831"/>
      <c r="AU412" s="1831"/>
      <c r="AV412" s="1831"/>
      <c r="AW412" s="1831"/>
      <c r="AX412" s="1831"/>
      <c r="AY412" s="1831"/>
      <c r="AZ412" s="1831"/>
      <c r="BA412" s="1831"/>
      <c r="BB412" s="1831"/>
      <c r="BC412" s="1831"/>
      <c r="BD412" s="1831"/>
      <c r="BE412" s="1831"/>
      <c r="BF412" s="1831"/>
      <c r="BG412" s="1644"/>
    </row>
    <row customHeight="1" ht="11.25">
      <c r="A413" s="1175" t="s">
        <v>1036</v>
      </c>
      <c r="B413" s="1175" t="s">
        <v>22</v>
      </c>
      <c r="C413" s="1175"/>
      <c r="D413" s="1169"/>
      <c r="E413" s="1179"/>
      <c r="F413" s="1837"/>
      <c r="G413" s="692" t="s">
        <v>104</v>
      </c>
      <c r="H413" s="2543" t="s">
        <v>1248</v>
      </c>
      <c r="I413" s="2544" t="s">
        <v>1137</v>
      </c>
      <c r="J413" s="2727" t="s">
        <v>22</v>
      </c>
      <c r="K413" s="2545" t="s">
        <v>1249</v>
      </c>
      <c r="L413" s="2135" t="s">
        <v>19</v>
      </c>
      <c r="M413" s="2136"/>
      <c r="N413" s="1992"/>
      <c r="O413" s="1186" t="s">
        <v>391</v>
      </c>
      <c r="P413" s="1187"/>
      <c r="Q413" s="1187"/>
      <c r="R413" s="1187"/>
      <c r="S413" s="1187"/>
      <c r="T413" s="1187"/>
      <c r="U413" s="1187"/>
      <c r="V413" s="1187"/>
      <c r="W413" s="1187"/>
      <c r="X413" s="1187"/>
      <c r="Y413" s="1187"/>
      <c r="Z413" s="1187"/>
      <c r="AA413" s="1187"/>
      <c r="AB413" s="1187"/>
      <c r="AC413" s="1187"/>
      <c r="AD413" s="1187"/>
      <c r="AE413" s="1187"/>
      <c r="AF413" s="2534">
        <v>5</v>
      </c>
      <c r="AG413" s="2535" t="s">
        <v>1072</v>
      </c>
      <c r="AH413" s="2535" t="s">
        <v>1158</v>
      </c>
      <c r="AI413" s="2906">
        <v>1</v>
      </c>
      <c r="AJ413" s="2535" t="s">
        <v>1072</v>
      </c>
      <c r="AK413" s="2535" t="s">
        <v>1085</v>
      </c>
      <c r="AL413" s="1994"/>
      <c r="AM413" s="1831"/>
      <c r="AN413" s="1831"/>
      <c r="AO413" s="1831"/>
      <c r="AP413" s="1831"/>
      <c r="AQ413" s="1831"/>
      <c r="AR413" s="1831"/>
      <c r="AS413" s="1831"/>
      <c r="AT413" s="1831"/>
      <c r="AU413" s="1831"/>
      <c r="AV413" s="1831"/>
      <c r="AW413" s="1831"/>
      <c r="AX413" s="1831"/>
      <c r="AY413" s="1831"/>
      <c r="AZ413" s="1831"/>
      <c r="BA413" s="1831"/>
      <c r="BB413" s="1831"/>
      <c r="BC413" s="1831"/>
      <c r="BD413" s="1831"/>
      <c r="BE413" s="1831"/>
      <c r="BF413" s="1831"/>
      <c r="BG413" s="1644"/>
    </row>
    <row customHeight="1" ht="11.25">
      <c r="A414" s="1175" t="s">
        <v>1036</v>
      </c>
      <c r="B414" s="1175"/>
      <c r="C414" s="1175"/>
      <c r="D414" s="1169"/>
      <c r="E414" s="1179"/>
      <c r="F414" s="1837"/>
      <c r="G414" s="1838"/>
      <c r="H414" s="2543" t="s">
        <v>1246</v>
      </c>
      <c r="I414" s="2544"/>
      <c r="J414" s="2727"/>
      <c r="K414" s="2545"/>
      <c r="L414" s="2135"/>
      <c r="M414" s="2136"/>
      <c r="N414" s="2536"/>
      <c r="O414" s="2537">
        <v>1</v>
      </c>
      <c r="P414" s="2538" t="s">
        <v>19</v>
      </c>
      <c r="Q414" s="2541" t="s">
        <v>22</v>
      </c>
      <c r="R414" s="2541" t="s">
        <v>22</v>
      </c>
      <c r="S414" s="2541" t="s">
        <v>22</v>
      </c>
      <c r="T414" s="2541" t="s">
        <v>22</v>
      </c>
      <c r="U414" s="2541" t="s">
        <v>22</v>
      </c>
      <c r="V414" s="2541" t="s">
        <v>22</v>
      </c>
      <c r="W414" s="2541" t="s">
        <v>22</v>
      </c>
      <c r="X414" s="2541" t="s">
        <v>22</v>
      </c>
      <c r="Y414" s="2541"/>
      <c r="Z414" s="1184"/>
      <c r="AA414" s="1185"/>
      <c r="AB414" s="1185"/>
      <c r="AC414" s="1189"/>
      <c r="AD414" s="1189"/>
      <c r="AE414" s="1190"/>
      <c r="AF414" s="2534"/>
      <c r="AG414" s="2535"/>
      <c r="AH414" s="2535"/>
      <c r="AI414" s="2906"/>
      <c r="AJ414" s="2535"/>
      <c r="AK414" s="2535"/>
      <c r="AL414" s="1994"/>
      <c r="AM414" s="1831"/>
      <c r="AN414" s="1831"/>
      <c r="AO414" s="1831"/>
      <c r="AP414" s="1831"/>
      <c r="AQ414" s="1831"/>
      <c r="AR414" s="1831"/>
      <c r="AS414" s="1831"/>
      <c r="AT414" s="1831"/>
      <c r="AU414" s="1831"/>
      <c r="AV414" s="1831"/>
      <c r="AW414" s="1831"/>
      <c r="AX414" s="1831"/>
      <c r="AY414" s="1831"/>
      <c r="AZ414" s="1831"/>
      <c r="BA414" s="1831"/>
      <c r="BB414" s="1831"/>
      <c r="BC414" s="1831"/>
      <c r="BD414" s="1831"/>
      <c r="BE414" s="1831"/>
      <c r="BF414" s="1831"/>
      <c r="BG414" s="1644"/>
    </row>
    <row customHeight="1" ht="11.25">
      <c r="A415" s="1175" t="s">
        <v>1036</v>
      </c>
      <c r="B415" s="1175"/>
      <c r="C415" s="1175"/>
      <c r="D415" s="1169"/>
      <c r="E415" s="1179"/>
      <c r="F415" s="1837"/>
      <c r="G415" s="1838"/>
      <c r="H415" s="2543" t="s">
        <v>1246</v>
      </c>
      <c r="I415" s="2544"/>
      <c r="J415" s="2727"/>
      <c r="K415" s="2545"/>
      <c r="L415" s="2135"/>
      <c r="M415" s="2136"/>
      <c r="N415" s="2536"/>
      <c r="O415" s="2537"/>
      <c r="P415" s="2539"/>
      <c r="Q415" s="2541"/>
      <c r="R415" s="2541"/>
      <c r="S415" s="2542"/>
      <c r="T415" s="2541"/>
      <c r="U415" s="2541"/>
      <c r="V415" s="2541"/>
      <c r="W415" s="2541"/>
      <c r="X415" s="2541"/>
      <c r="Y415" s="2541"/>
      <c r="Z415" s="1836"/>
      <c r="AA415" s="1802">
        <v>1</v>
      </c>
      <c r="AB415" s="1188" t="s">
        <v>1125</v>
      </c>
      <c r="AC415" s="1178">
        <v>4159.76</v>
      </c>
      <c r="AD415" s="1188" t="str">
        <f>AB415</f>
        <v>  Прочие</v>
      </c>
      <c r="AE415" s="1178">
        <v>3715.52</v>
      </c>
      <c r="AF415" s="2534"/>
      <c r="AG415" s="2535"/>
      <c r="AH415" s="2535"/>
      <c r="AI415" s="2906"/>
      <c r="AJ415" s="2535"/>
      <c r="AK415" s="2535"/>
      <c r="AL415" s="1994"/>
      <c r="AM415" s="1831"/>
      <c r="AN415" s="1831"/>
      <c r="AO415" s="1831"/>
      <c r="AP415" s="1831"/>
      <c r="AQ415" s="1831"/>
      <c r="AR415" s="1831"/>
      <c r="AS415" s="1831"/>
      <c r="AT415" s="1831"/>
      <c r="AU415" s="1831"/>
      <c r="AV415" s="1831"/>
      <c r="AW415" s="1831"/>
      <c r="AX415" s="1831"/>
      <c r="AY415" s="1831"/>
      <c r="AZ415" s="1831"/>
      <c r="BA415" s="1831"/>
      <c r="BB415" s="1831"/>
      <c r="BC415" s="1831"/>
      <c r="BD415" s="1831"/>
      <c r="BE415" s="1831"/>
      <c r="BF415" s="1831"/>
      <c r="BG415" s="1644"/>
    </row>
    <row customHeight="1" ht="11.25">
      <c r="A416" s="1175" t="s">
        <v>1036</v>
      </c>
      <c r="B416" s="1175"/>
      <c r="C416" s="1175"/>
      <c r="D416" s="1169"/>
      <c r="E416" s="1179"/>
      <c r="F416" s="1837"/>
      <c r="G416" s="1838"/>
      <c r="H416" s="2543" t="s">
        <v>1246</v>
      </c>
      <c r="I416" s="2544"/>
      <c r="J416" s="2727"/>
      <c r="K416" s="2545"/>
      <c r="L416" s="2135"/>
      <c r="M416" s="2136"/>
      <c r="N416" s="2536"/>
      <c r="O416" s="2537"/>
      <c r="P416" s="2540"/>
      <c r="Q416" s="2541"/>
      <c r="R416" s="2541"/>
      <c r="S416" s="2542"/>
      <c r="T416" s="2541"/>
      <c r="U416" s="2541"/>
      <c r="V416" s="2541"/>
      <c r="W416" s="2541"/>
      <c r="X416" s="2541"/>
      <c r="Y416" s="2541"/>
      <c r="Z416" s="1184"/>
      <c r="AA416" s="1185"/>
      <c r="AB416" s="1250" t="s">
        <v>1082</v>
      </c>
      <c r="AC416" s="1189"/>
      <c r="AD416" s="1189"/>
      <c r="AE416" s="1191"/>
      <c r="AF416" s="2534"/>
      <c r="AG416" s="2535"/>
      <c r="AH416" s="2535"/>
      <c r="AI416" s="2906"/>
      <c r="AJ416" s="2535"/>
      <c r="AK416" s="2535"/>
      <c r="AL416" s="1994"/>
      <c r="AM416" s="1831"/>
      <c r="AN416" s="1831"/>
      <c r="AO416" s="1831"/>
      <c r="AP416" s="1831"/>
      <c r="AQ416" s="1831"/>
      <c r="AR416" s="1831"/>
      <c r="AS416" s="1831"/>
      <c r="AT416" s="1831"/>
      <c r="AU416" s="1831"/>
      <c r="AV416" s="1831"/>
      <c r="AW416" s="1831"/>
      <c r="AX416" s="1831"/>
      <c r="AY416" s="1831"/>
      <c r="AZ416" s="1831"/>
      <c r="BA416" s="1831"/>
      <c r="BB416" s="1831"/>
      <c r="BC416" s="1831"/>
      <c r="BD416" s="1831"/>
      <c r="BE416" s="1831"/>
      <c r="BF416" s="1831"/>
      <c r="BG416" s="1644"/>
    </row>
    <row customHeight="1" ht="11.25">
      <c r="A417" s="1175" t="s">
        <v>1036</v>
      </c>
      <c r="B417" s="1175"/>
      <c r="C417" s="1175"/>
      <c r="D417" s="1169"/>
      <c r="E417" s="1179"/>
      <c r="F417" s="1837"/>
      <c r="G417" s="1838"/>
      <c r="H417" s="2543" t="s">
        <v>1246</v>
      </c>
      <c r="I417" s="2544"/>
      <c r="J417" s="2727"/>
      <c r="K417" s="2545"/>
      <c r="L417" s="2135"/>
      <c r="M417" s="2136"/>
      <c r="N417" s="1184"/>
      <c r="O417" s="1185"/>
      <c r="P417" s="1177" t="s">
        <v>1083</v>
      </c>
      <c r="Q417" s="1185"/>
      <c r="R417" s="1185"/>
      <c r="S417" s="1185"/>
      <c r="T417" s="1185"/>
      <c r="U417" s="1185"/>
      <c r="V417" s="1185"/>
      <c r="W417" s="1185"/>
      <c r="X417" s="1185"/>
      <c r="Y417" s="1185"/>
      <c r="Z417" s="1185"/>
      <c r="AA417" s="1185"/>
      <c r="AB417" s="1185"/>
      <c r="AC417" s="1185"/>
      <c r="AD417" s="1185"/>
      <c r="AE417" s="1192"/>
      <c r="AF417" s="2534"/>
      <c r="AG417" s="2535"/>
      <c r="AH417" s="2535"/>
      <c r="AI417" s="2906"/>
      <c r="AJ417" s="2535"/>
      <c r="AK417" s="2535"/>
      <c r="AL417" s="1994"/>
      <c r="AM417" s="1831"/>
      <c r="AN417" s="1831"/>
      <c r="AO417" s="1831"/>
      <c r="AP417" s="1831"/>
      <c r="AQ417" s="1831"/>
      <c r="AR417" s="1831"/>
      <c r="AS417" s="1831"/>
      <c r="AT417" s="1831"/>
      <c r="AU417" s="1831"/>
      <c r="AV417" s="1831"/>
      <c r="AW417" s="1831"/>
      <c r="AX417" s="1831"/>
      <c r="AY417" s="1831"/>
      <c r="AZ417" s="1831"/>
      <c r="BA417" s="1831"/>
      <c r="BB417" s="1831"/>
      <c r="BC417" s="1831"/>
      <c r="BD417" s="1831"/>
      <c r="BE417" s="1831"/>
      <c r="BF417" s="1831"/>
      <c r="BG417" s="1644"/>
    </row>
    <row customHeight="1" ht="11.25">
      <c r="A418" s="1175" t="s">
        <v>1036</v>
      </c>
      <c r="B418" s="1175" t="s">
        <v>22</v>
      </c>
      <c r="C418" s="1175"/>
      <c r="D418" s="1169"/>
      <c r="E418" s="1179"/>
      <c r="F418" s="1837"/>
      <c r="G418" s="692" t="s">
        <v>104</v>
      </c>
      <c r="H418" s="2543" t="s">
        <v>1250</v>
      </c>
      <c r="I418" s="2544" t="s">
        <v>1137</v>
      </c>
      <c r="J418" s="2727" t="s">
        <v>22</v>
      </c>
      <c r="K418" s="2545" t="s">
        <v>1251</v>
      </c>
      <c r="L418" s="2135" t="s">
        <v>19</v>
      </c>
      <c r="M418" s="2136"/>
      <c r="N418" s="1992"/>
      <c r="O418" s="1186" t="s">
        <v>391</v>
      </c>
      <c r="P418" s="1187"/>
      <c r="Q418" s="1187"/>
      <c r="R418" s="1187"/>
      <c r="S418" s="1187"/>
      <c r="T418" s="1187"/>
      <c r="U418" s="1187"/>
      <c r="V418" s="1187"/>
      <c r="W418" s="1187"/>
      <c r="X418" s="1187"/>
      <c r="Y418" s="1187"/>
      <c r="Z418" s="1187"/>
      <c r="AA418" s="1187"/>
      <c r="AB418" s="1187"/>
      <c r="AC418" s="1187"/>
      <c r="AD418" s="1187"/>
      <c r="AE418" s="1187"/>
      <c r="AF418" s="2534">
        <v>1</v>
      </c>
      <c r="AG418" s="2535" t="s">
        <v>1072</v>
      </c>
      <c r="AH418" s="2535" t="s">
        <v>1085</v>
      </c>
      <c r="AI418" s="2534">
        <v>1</v>
      </c>
      <c r="AJ418" s="2535" t="s">
        <v>1072</v>
      </c>
      <c r="AK418" s="2535" t="s">
        <v>1085</v>
      </c>
      <c r="AL418" s="1994"/>
      <c r="AM418" s="1831"/>
      <c r="AN418" s="1831"/>
      <c r="AO418" s="1831"/>
      <c r="AP418" s="1831"/>
      <c r="AQ418" s="1831"/>
      <c r="AR418" s="1831"/>
      <c r="AS418" s="1831"/>
      <c r="AT418" s="1831"/>
      <c r="AU418" s="1831"/>
      <c r="AV418" s="1831"/>
      <c r="AW418" s="1831"/>
      <c r="AX418" s="1831"/>
      <c r="AY418" s="1831"/>
      <c r="AZ418" s="1831"/>
      <c r="BA418" s="1831"/>
      <c r="BB418" s="1831"/>
      <c r="BC418" s="1831"/>
      <c r="BD418" s="1831"/>
      <c r="BE418" s="1831"/>
      <c r="BF418" s="1831"/>
      <c r="BG418" s="1644"/>
    </row>
    <row customHeight="1" ht="11.25">
      <c r="A419" s="1175" t="s">
        <v>1036</v>
      </c>
      <c r="B419" s="1175"/>
      <c r="C419" s="1175"/>
      <c r="D419" s="1169"/>
      <c r="E419" s="1179"/>
      <c r="F419" s="1837"/>
      <c r="G419" s="1838"/>
      <c r="H419" s="2543" t="s">
        <v>1248</v>
      </c>
      <c r="I419" s="2544"/>
      <c r="J419" s="2727"/>
      <c r="K419" s="2545"/>
      <c r="L419" s="2135"/>
      <c r="M419" s="2136"/>
      <c r="N419" s="2536"/>
      <c r="O419" s="2537">
        <v>1</v>
      </c>
      <c r="P419" s="2538" t="s">
        <v>19</v>
      </c>
      <c r="Q419" s="2541" t="s">
        <v>22</v>
      </c>
      <c r="R419" s="2541" t="s">
        <v>22</v>
      </c>
      <c r="S419" s="2541" t="s">
        <v>22</v>
      </c>
      <c r="T419" s="2541" t="s">
        <v>22</v>
      </c>
      <c r="U419" s="2541" t="s">
        <v>22</v>
      </c>
      <c r="V419" s="2541" t="s">
        <v>22</v>
      </c>
      <c r="W419" s="2541" t="s">
        <v>22</v>
      </c>
      <c r="X419" s="2541" t="s">
        <v>22</v>
      </c>
      <c r="Y419" s="2541"/>
      <c r="Z419" s="1184"/>
      <c r="AA419" s="1185"/>
      <c r="AB419" s="1185"/>
      <c r="AC419" s="1189"/>
      <c r="AD419" s="1189"/>
      <c r="AE419" s="1190"/>
      <c r="AF419" s="2534"/>
      <c r="AG419" s="2535"/>
      <c r="AH419" s="2535"/>
      <c r="AI419" s="2534"/>
      <c r="AJ419" s="2535"/>
      <c r="AK419" s="2535"/>
      <c r="AL419" s="1994"/>
      <c r="AM419" s="1831"/>
      <c r="AN419" s="1831"/>
      <c r="AO419" s="1831"/>
      <c r="AP419" s="1831"/>
      <c r="AQ419" s="1831"/>
      <c r="AR419" s="1831"/>
      <c r="AS419" s="1831"/>
      <c r="AT419" s="1831"/>
      <c r="AU419" s="1831"/>
      <c r="AV419" s="1831"/>
      <c r="AW419" s="1831"/>
      <c r="AX419" s="1831"/>
      <c r="AY419" s="1831"/>
      <c r="AZ419" s="1831"/>
      <c r="BA419" s="1831"/>
      <c r="BB419" s="1831"/>
      <c r="BC419" s="1831"/>
      <c r="BD419" s="1831"/>
      <c r="BE419" s="1831"/>
      <c r="BF419" s="1831"/>
      <c r="BG419" s="1644"/>
    </row>
    <row customHeight="1" ht="11.25">
      <c r="A420" s="1175" t="s">
        <v>1036</v>
      </c>
      <c r="B420" s="1175"/>
      <c r="C420" s="1175"/>
      <c r="D420" s="1169"/>
      <c r="E420" s="1179"/>
      <c r="F420" s="1837"/>
      <c r="G420" s="1838"/>
      <c r="H420" s="2543" t="s">
        <v>1248</v>
      </c>
      <c r="I420" s="2544"/>
      <c r="J420" s="2727"/>
      <c r="K420" s="2545"/>
      <c r="L420" s="2135"/>
      <c r="M420" s="2136"/>
      <c r="N420" s="2536"/>
      <c r="O420" s="2537"/>
      <c r="P420" s="2539"/>
      <c r="Q420" s="2541"/>
      <c r="R420" s="2541"/>
      <c r="S420" s="2542"/>
      <c r="T420" s="2541"/>
      <c r="U420" s="2541"/>
      <c r="V420" s="2541"/>
      <c r="W420" s="2541"/>
      <c r="X420" s="2541"/>
      <c r="Y420" s="2541"/>
      <c r="Z420" s="1836"/>
      <c r="AA420" s="1802">
        <v>1</v>
      </c>
      <c r="AB420" s="1188" t="s">
        <v>1125</v>
      </c>
      <c r="AC420" s="1178">
        <v>11376</v>
      </c>
      <c r="AD420" s="1188" t="str">
        <f>AB420</f>
        <v>  Прочие</v>
      </c>
      <c r="AE420" s="1178">
        <v>14529.6</v>
      </c>
      <c r="AF420" s="2534"/>
      <c r="AG420" s="2535"/>
      <c r="AH420" s="2535"/>
      <c r="AI420" s="2534"/>
      <c r="AJ420" s="2535"/>
      <c r="AK420" s="2535"/>
      <c r="AL420" s="1994"/>
      <c r="AM420" s="1831"/>
      <c r="AN420" s="1831"/>
      <c r="AO420" s="1831"/>
      <c r="AP420" s="1831"/>
      <c r="AQ420" s="1831"/>
      <c r="AR420" s="1831"/>
      <c r="AS420" s="1831"/>
      <c r="AT420" s="1831"/>
      <c r="AU420" s="1831"/>
      <c r="AV420" s="1831"/>
      <c r="AW420" s="1831"/>
      <c r="AX420" s="1831"/>
      <c r="AY420" s="1831"/>
      <c r="AZ420" s="1831"/>
      <c r="BA420" s="1831"/>
      <c r="BB420" s="1831"/>
      <c r="BC420" s="1831"/>
      <c r="BD420" s="1831"/>
      <c r="BE420" s="1831"/>
      <c r="BF420" s="1831"/>
      <c r="BG420" s="1644"/>
    </row>
    <row customHeight="1" ht="11.25">
      <c r="A421" s="1175" t="s">
        <v>1036</v>
      </c>
      <c r="B421" s="1175"/>
      <c r="C421" s="1175"/>
      <c r="D421" s="1169"/>
      <c r="E421" s="1179"/>
      <c r="F421" s="1837"/>
      <c r="G421" s="1838"/>
      <c r="H421" s="2543" t="s">
        <v>1248</v>
      </c>
      <c r="I421" s="2544"/>
      <c r="J421" s="2727"/>
      <c r="K421" s="2545"/>
      <c r="L421" s="2135"/>
      <c r="M421" s="2136"/>
      <c r="N421" s="2536"/>
      <c r="O421" s="2537"/>
      <c r="P421" s="2540"/>
      <c r="Q421" s="2541"/>
      <c r="R421" s="2541"/>
      <c r="S421" s="2542"/>
      <c r="T421" s="2541"/>
      <c r="U421" s="2541"/>
      <c r="V421" s="2541"/>
      <c r="W421" s="2541"/>
      <c r="X421" s="2541"/>
      <c r="Y421" s="2541"/>
      <c r="Z421" s="1184"/>
      <c r="AA421" s="1185"/>
      <c r="AB421" s="1250" t="s">
        <v>1082</v>
      </c>
      <c r="AC421" s="1189"/>
      <c r="AD421" s="1189"/>
      <c r="AE421" s="1191"/>
      <c r="AF421" s="2534"/>
      <c r="AG421" s="2535"/>
      <c r="AH421" s="2535"/>
      <c r="AI421" s="2534"/>
      <c r="AJ421" s="2535"/>
      <c r="AK421" s="2535"/>
      <c r="AL421" s="1994"/>
      <c r="AM421" s="1831"/>
      <c r="AN421" s="1831"/>
      <c r="AO421" s="1831"/>
      <c r="AP421" s="1831"/>
      <c r="AQ421" s="1831"/>
      <c r="AR421" s="1831"/>
      <c r="AS421" s="1831"/>
      <c r="AT421" s="1831"/>
      <c r="AU421" s="1831"/>
      <c r="AV421" s="1831"/>
      <c r="AW421" s="1831"/>
      <c r="AX421" s="1831"/>
      <c r="AY421" s="1831"/>
      <c r="AZ421" s="1831"/>
      <c r="BA421" s="1831"/>
      <c r="BB421" s="1831"/>
      <c r="BC421" s="1831"/>
      <c r="BD421" s="1831"/>
      <c r="BE421" s="1831"/>
      <c r="BF421" s="1831"/>
      <c r="BG421" s="1644"/>
    </row>
    <row customHeight="1" ht="11.25">
      <c r="A422" s="1175" t="s">
        <v>1036</v>
      </c>
      <c r="B422" s="1175"/>
      <c r="C422" s="1175"/>
      <c r="D422" s="1169"/>
      <c r="E422" s="1179"/>
      <c r="F422" s="1837"/>
      <c r="G422" s="1838"/>
      <c r="H422" s="2543" t="s">
        <v>1248</v>
      </c>
      <c r="I422" s="2544"/>
      <c r="J422" s="2727"/>
      <c r="K422" s="2545"/>
      <c r="L422" s="2135"/>
      <c r="M422" s="2136"/>
      <c r="N422" s="1184"/>
      <c r="O422" s="1185"/>
      <c r="P422" s="1177" t="s">
        <v>1083</v>
      </c>
      <c r="Q422" s="1185"/>
      <c r="R422" s="1185"/>
      <c r="S422" s="1185"/>
      <c r="T422" s="1185"/>
      <c r="U422" s="1185"/>
      <c r="V422" s="1185"/>
      <c r="W422" s="1185"/>
      <c r="X422" s="1185"/>
      <c r="Y422" s="1185"/>
      <c r="Z422" s="1185"/>
      <c r="AA422" s="1185"/>
      <c r="AB422" s="1185"/>
      <c r="AC422" s="1185"/>
      <c r="AD422" s="1185"/>
      <c r="AE422" s="1192"/>
      <c r="AF422" s="2534"/>
      <c r="AG422" s="2535"/>
      <c r="AH422" s="2535"/>
      <c r="AI422" s="2534"/>
      <c r="AJ422" s="2535"/>
      <c r="AK422" s="2535"/>
      <c r="AL422" s="1994"/>
      <c r="AM422" s="1831"/>
      <c r="AN422" s="1831"/>
      <c r="AO422" s="1831"/>
      <c r="AP422" s="1831"/>
      <c r="AQ422" s="1831"/>
      <c r="AR422" s="1831"/>
      <c r="AS422" s="1831"/>
      <c r="AT422" s="1831"/>
      <c r="AU422" s="1831"/>
      <c r="AV422" s="1831"/>
      <c r="AW422" s="1831"/>
      <c r="AX422" s="1831"/>
      <c r="AY422" s="1831"/>
      <c r="AZ422" s="1831"/>
      <c r="BA422" s="1831"/>
      <c r="BB422" s="1831"/>
      <c r="BC422" s="1831"/>
      <c r="BD422" s="1831"/>
      <c r="BE422" s="1831"/>
      <c r="BF422" s="1831"/>
      <c r="BG422" s="1644"/>
    </row>
    <row customHeight="1" ht="11.25">
      <c r="A423" s="1175" t="s">
        <v>1036</v>
      </c>
      <c r="B423" s="1175" t="s">
        <v>22</v>
      </c>
      <c r="C423" s="1175"/>
      <c r="D423" s="1169"/>
      <c r="E423" s="1179"/>
      <c r="F423" s="1837"/>
      <c r="G423" s="692" t="s">
        <v>104</v>
      </c>
      <c r="H423" s="2543" t="s">
        <v>1252</v>
      </c>
      <c r="I423" s="2544" t="s">
        <v>1137</v>
      </c>
      <c r="J423" s="2727" t="s">
        <v>22</v>
      </c>
      <c r="K423" s="2545" t="s">
        <v>1253</v>
      </c>
      <c r="L423" s="2135" t="s">
        <v>19</v>
      </c>
      <c r="M423" s="2136"/>
      <c r="N423" s="1992"/>
      <c r="O423" s="1186" t="s">
        <v>391</v>
      </c>
      <c r="P423" s="1187"/>
      <c r="Q423" s="1187"/>
      <c r="R423" s="1187"/>
      <c r="S423" s="1187"/>
      <c r="T423" s="1187"/>
      <c r="U423" s="1187"/>
      <c r="V423" s="1187"/>
      <c r="W423" s="1187"/>
      <c r="X423" s="1187"/>
      <c r="Y423" s="1187"/>
      <c r="Z423" s="1187"/>
      <c r="AA423" s="1187"/>
      <c r="AB423" s="1187"/>
      <c r="AC423" s="1187"/>
      <c r="AD423" s="1187"/>
      <c r="AE423" s="1187"/>
      <c r="AF423" s="2534">
        <v>5</v>
      </c>
      <c r="AG423" s="2535" t="s">
        <v>1072</v>
      </c>
      <c r="AH423" s="2535" t="s">
        <v>1158</v>
      </c>
      <c r="AI423" s="2906">
        <v>1</v>
      </c>
      <c r="AJ423" s="2535" t="s">
        <v>1072</v>
      </c>
      <c r="AK423" s="2535" t="s">
        <v>1085</v>
      </c>
      <c r="AL423" s="1994"/>
      <c r="AM423" s="1831"/>
      <c r="AN423" s="1831"/>
      <c r="AO423" s="1831"/>
      <c r="AP423" s="1831"/>
      <c r="AQ423" s="1831"/>
      <c r="AR423" s="1831"/>
      <c r="AS423" s="1831"/>
      <c r="AT423" s="1831"/>
      <c r="AU423" s="1831"/>
      <c r="AV423" s="1831"/>
      <c r="AW423" s="1831"/>
      <c r="AX423" s="1831"/>
      <c r="AY423" s="1831"/>
      <c r="AZ423" s="1831"/>
      <c r="BA423" s="1831"/>
      <c r="BB423" s="1831"/>
      <c r="BC423" s="1831"/>
      <c r="BD423" s="1831"/>
      <c r="BE423" s="1831"/>
      <c r="BF423" s="1831"/>
      <c r="BG423" s="1644"/>
    </row>
    <row customHeight="1" ht="11.25">
      <c r="A424" s="1175" t="s">
        <v>1036</v>
      </c>
      <c r="B424" s="1175"/>
      <c r="C424" s="1175"/>
      <c r="D424" s="1169"/>
      <c r="E424" s="1179"/>
      <c r="F424" s="1837"/>
      <c r="G424" s="1838"/>
      <c r="H424" s="2543" t="s">
        <v>1250</v>
      </c>
      <c r="I424" s="2544"/>
      <c r="J424" s="2727"/>
      <c r="K424" s="2545"/>
      <c r="L424" s="2135"/>
      <c r="M424" s="2136"/>
      <c r="N424" s="2536"/>
      <c r="O424" s="2537">
        <v>1</v>
      </c>
      <c r="P424" s="2538" t="s">
        <v>19</v>
      </c>
      <c r="Q424" s="2541" t="s">
        <v>22</v>
      </c>
      <c r="R424" s="2541" t="s">
        <v>22</v>
      </c>
      <c r="S424" s="2541" t="s">
        <v>22</v>
      </c>
      <c r="T424" s="2541" t="s">
        <v>22</v>
      </c>
      <c r="U424" s="2541" t="s">
        <v>22</v>
      </c>
      <c r="V424" s="2541" t="s">
        <v>22</v>
      </c>
      <c r="W424" s="2541" t="s">
        <v>22</v>
      </c>
      <c r="X424" s="2541" t="s">
        <v>22</v>
      </c>
      <c r="Y424" s="2541"/>
      <c r="Z424" s="1184"/>
      <c r="AA424" s="1185"/>
      <c r="AB424" s="1185"/>
      <c r="AC424" s="1189"/>
      <c r="AD424" s="1189"/>
      <c r="AE424" s="1190"/>
      <c r="AF424" s="2534"/>
      <c r="AG424" s="2535"/>
      <c r="AH424" s="2535"/>
      <c r="AI424" s="2906"/>
      <c r="AJ424" s="2535"/>
      <c r="AK424" s="2535"/>
      <c r="AL424" s="1994"/>
      <c r="AM424" s="1831"/>
      <c r="AN424" s="1831"/>
      <c r="AO424" s="1831"/>
      <c r="AP424" s="1831"/>
      <c r="AQ424" s="1831"/>
      <c r="AR424" s="1831"/>
      <c r="AS424" s="1831"/>
      <c r="AT424" s="1831"/>
      <c r="AU424" s="1831"/>
      <c r="AV424" s="1831"/>
      <c r="AW424" s="1831"/>
      <c r="AX424" s="1831"/>
      <c r="AY424" s="1831"/>
      <c r="AZ424" s="1831"/>
      <c r="BA424" s="1831"/>
      <c r="BB424" s="1831"/>
      <c r="BC424" s="1831"/>
      <c r="BD424" s="1831"/>
      <c r="BE424" s="1831"/>
      <c r="BF424" s="1831"/>
      <c r="BG424" s="1644"/>
    </row>
    <row customHeight="1" ht="11.25">
      <c r="A425" s="1175" t="s">
        <v>1036</v>
      </c>
      <c r="B425" s="1175"/>
      <c r="C425" s="1175"/>
      <c r="D425" s="1169"/>
      <c r="E425" s="1179"/>
      <c r="F425" s="1837"/>
      <c r="G425" s="1838"/>
      <c r="H425" s="2543" t="s">
        <v>1250</v>
      </c>
      <c r="I425" s="2544"/>
      <c r="J425" s="2727"/>
      <c r="K425" s="2545"/>
      <c r="L425" s="2135"/>
      <c r="M425" s="2136"/>
      <c r="N425" s="2536"/>
      <c r="O425" s="2537"/>
      <c r="P425" s="2539"/>
      <c r="Q425" s="2541"/>
      <c r="R425" s="2541"/>
      <c r="S425" s="2542"/>
      <c r="T425" s="2541"/>
      <c r="U425" s="2541"/>
      <c r="V425" s="2541"/>
      <c r="W425" s="2541"/>
      <c r="X425" s="2541"/>
      <c r="Y425" s="2541"/>
      <c r="Z425" s="1836"/>
      <c r="AA425" s="1802">
        <v>1</v>
      </c>
      <c r="AB425" s="1188" t="s">
        <v>1125</v>
      </c>
      <c r="AC425" s="1178">
        <v>18542.44</v>
      </c>
      <c r="AD425" s="1188" t="str">
        <f>AB425</f>
        <v>  Прочие</v>
      </c>
      <c r="AE425" s="1178">
        <v>16756.82</v>
      </c>
      <c r="AF425" s="2534"/>
      <c r="AG425" s="2535"/>
      <c r="AH425" s="2535"/>
      <c r="AI425" s="2906"/>
      <c r="AJ425" s="2535"/>
      <c r="AK425" s="2535"/>
      <c r="AL425" s="1994"/>
      <c r="AM425" s="1831"/>
      <c r="AN425" s="1831"/>
      <c r="AO425" s="1831"/>
      <c r="AP425" s="1831"/>
      <c r="AQ425" s="1831"/>
      <c r="AR425" s="1831"/>
      <c r="AS425" s="1831"/>
      <c r="AT425" s="1831"/>
      <c r="AU425" s="1831"/>
      <c r="AV425" s="1831"/>
      <c r="AW425" s="1831"/>
      <c r="AX425" s="1831"/>
      <c r="AY425" s="1831"/>
      <c r="AZ425" s="1831"/>
      <c r="BA425" s="1831"/>
      <c r="BB425" s="1831"/>
      <c r="BC425" s="1831"/>
      <c r="BD425" s="1831"/>
      <c r="BE425" s="1831"/>
      <c r="BF425" s="1831"/>
      <c r="BG425" s="1644"/>
    </row>
    <row customHeight="1" ht="11.25">
      <c r="A426" s="1175" t="s">
        <v>1036</v>
      </c>
      <c r="B426" s="1175"/>
      <c r="C426" s="1175"/>
      <c r="D426" s="1169"/>
      <c r="E426" s="1179"/>
      <c r="F426" s="1837"/>
      <c r="G426" s="1838"/>
      <c r="H426" s="2543" t="s">
        <v>1250</v>
      </c>
      <c r="I426" s="2544"/>
      <c r="J426" s="2727"/>
      <c r="K426" s="2545"/>
      <c r="L426" s="2135"/>
      <c r="M426" s="2136"/>
      <c r="N426" s="2536"/>
      <c r="O426" s="2537"/>
      <c r="P426" s="2540"/>
      <c r="Q426" s="2541"/>
      <c r="R426" s="2541"/>
      <c r="S426" s="2542"/>
      <c r="T426" s="2541"/>
      <c r="U426" s="2541"/>
      <c r="V426" s="2541"/>
      <c r="W426" s="2541"/>
      <c r="X426" s="2541"/>
      <c r="Y426" s="2541"/>
      <c r="Z426" s="1184"/>
      <c r="AA426" s="1185"/>
      <c r="AB426" s="1250" t="s">
        <v>1082</v>
      </c>
      <c r="AC426" s="1189"/>
      <c r="AD426" s="1189"/>
      <c r="AE426" s="1191"/>
      <c r="AF426" s="2534"/>
      <c r="AG426" s="2535"/>
      <c r="AH426" s="2535"/>
      <c r="AI426" s="2906"/>
      <c r="AJ426" s="2535"/>
      <c r="AK426" s="2535"/>
      <c r="AL426" s="1994"/>
      <c r="AM426" s="1831"/>
      <c r="AN426" s="1831"/>
      <c r="AO426" s="1831"/>
      <c r="AP426" s="1831"/>
      <c r="AQ426" s="1831"/>
      <c r="AR426" s="1831"/>
      <c r="AS426" s="1831"/>
      <c r="AT426" s="1831"/>
      <c r="AU426" s="1831"/>
      <c r="AV426" s="1831"/>
      <c r="AW426" s="1831"/>
      <c r="AX426" s="1831"/>
      <c r="AY426" s="1831"/>
      <c r="AZ426" s="1831"/>
      <c r="BA426" s="1831"/>
      <c r="BB426" s="1831"/>
      <c r="BC426" s="1831"/>
      <c r="BD426" s="1831"/>
      <c r="BE426" s="1831"/>
      <c r="BF426" s="1831"/>
      <c r="BG426" s="1644"/>
    </row>
    <row customHeight="1" ht="11.25">
      <c r="A427" s="1175" t="s">
        <v>1036</v>
      </c>
      <c r="B427" s="1175"/>
      <c r="C427" s="1175"/>
      <c r="D427" s="1169"/>
      <c r="E427" s="1179"/>
      <c r="F427" s="1837"/>
      <c r="G427" s="1838"/>
      <c r="H427" s="2543" t="s">
        <v>1250</v>
      </c>
      <c r="I427" s="2544"/>
      <c r="J427" s="2727"/>
      <c r="K427" s="2545"/>
      <c r="L427" s="2135"/>
      <c r="M427" s="2136"/>
      <c r="N427" s="1184"/>
      <c r="O427" s="1185"/>
      <c r="P427" s="1177" t="s">
        <v>1083</v>
      </c>
      <c r="Q427" s="1185"/>
      <c r="R427" s="1185"/>
      <c r="S427" s="1185"/>
      <c r="T427" s="1185"/>
      <c r="U427" s="1185"/>
      <c r="V427" s="1185"/>
      <c r="W427" s="1185"/>
      <c r="X427" s="1185"/>
      <c r="Y427" s="1185"/>
      <c r="Z427" s="1185"/>
      <c r="AA427" s="1185"/>
      <c r="AB427" s="1185"/>
      <c r="AC427" s="1185"/>
      <c r="AD427" s="1185"/>
      <c r="AE427" s="1192"/>
      <c r="AF427" s="2534"/>
      <c r="AG427" s="2535"/>
      <c r="AH427" s="2535"/>
      <c r="AI427" s="2906"/>
      <c r="AJ427" s="2535"/>
      <c r="AK427" s="2535"/>
      <c r="AL427" s="1994"/>
      <c r="AM427" s="1831"/>
      <c r="AN427" s="1831"/>
      <c r="AO427" s="1831"/>
      <c r="AP427" s="1831"/>
      <c r="AQ427" s="1831"/>
      <c r="AR427" s="1831"/>
      <c r="AS427" s="1831"/>
      <c r="AT427" s="1831"/>
      <c r="AU427" s="1831"/>
      <c r="AV427" s="1831"/>
      <c r="AW427" s="1831"/>
      <c r="AX427" s="1831"/>
      <c r="AY427" s="1831"/>
      <c r="AZ427" s="1831"/>
      <c r="BA427" s="1831"/>
      <c r="BB427" s="1831"/>
      <c r="BC427" s="1831"/>
      <c r="BD427" s="1831"/>
      <c r="BE427" s="1831"/>
      <c r="BF427" s="1831"/>
      <c r="BG427" s="1644"/>
    </row>
    <row customHeight="1" ht="11.25">
      <c r="A428" s="1175" t="s">
        <v>1036</v>
      </c>
      <c r="B428" s="1175" t="s">
        <v>22</v>
      </c>
      <c r="C428" s="1175"/>
      <c r="D428" s="1169"/>
      <c r="E428" s="1179"/>
      <c r="F428" s="1837"/>
      <c r="G428" s="692" t="s">
        <v>104</v>
      </c>
      <c r="H428" s="2543" t="s">
        <v>1254</v>
      </c>
      <c r="I428" s="2544" t="s">
        <v>1147</v>
      </c>
      <c r="J428" s="2727" t="s">
        <v>22</v>
      </c>
      <c r="K428" s="2545" t="s">
        <v>1255</v>
      </c>
      <c r="L428" s="2135" t="s">
        <v>19</v>
      </c>
      <c r="M428" s="2136"/>
      <c r="N428" s="1992"/>
      <c r="O428" s="1186" t="s">
        <v>391</v>
      </c>
      <c r="P428" s="1187"/>
      <c r="Q428" s="1187"/>
      <c r="R428" s="1187"/>
      <c r="S428" s="1187"/>
      <c r="T428" s="1187"/>
      <c r="U428" s="1187"/>
      <c r="V428" s="1187"/>
      <c r="W428" s="1187"/>
      <c r="X428" s="1187"/>
      <c r="Y428" s="1187"/>
      <c r="Z428" s="1187"/>
      <c r="AA428" s="1187"/>
      <c r="AB428" s="1187"/>
      <c r="AC428" s="1187"/>
      <c r="AD428" s="1187"/>
      <c r="AE428" s="1187"/>
      <c r="AF428" s="2534">
        <v>1</v>
      </c>
      <c r="AG428" s="2535" t="s">
        <v>1072</v>
      </c>
      <c r="AH428" s="2535" t="s">
        <v>1085</v>
      </c>
      <c r="AI428" s="2534">
        <v>1</v>
      </c>
      <c r="AJ428" s="2535" t="s">
        <v>1095</v>
      </c>
      <c r="AK428" s="2535" t="s">
        <v>1085</v>
      </c>
      <c r="AL428" s="1994"/>
      <c r="AM428" s="1831"/>
      <c r="AN428" s="1831"/>
      <c r="AO428" s="1831"/>
      <c r="AP428" s="1831"/>
      <c r="AQ428" s="1831"/>
      <c r="AR428" s="1831"/>
      <c r="AS428" s="1831"/>
      <c r="AT428" s="1831"/>
      <c r="AU428" s="1831"/>
      <c r="AV428" s="1831"/>
      <c r="AW428" s="1831"/>
      <c r="AX428" s="1831"/>
      <c r="AY428" s="1831"/>
      <c r="AZ428" s="1831"/>
      <c r="BA428" s="1831"/>
      <c r="BB428" s="1831"/>
      <c r="BC428" s="1831"/>
      <c r="BD428" s="1831"/>
      <c r="BE428" s="1831"/>
      <c r="BF428" s="1831"/>
      <c r="BG428" s="1644"/>
    </row>
    <row customHeight="1" ht="11.25">
      <c r="A429" s="1175" t="s">
        <v>1036</v>
      </c>
      <c r="B429" s="1175"/>
      <c r="C429" s="1175"/>
      <c r="D429" s="1169"/>
      <c r="E429" s="1179"/>
      <c r="F429" s="1837"/>
      <c r="G429" s="1838"/>
      <c r="H429" s="2543" t="s">
        <v>1252</v>
      </c>
      <c r="I429" s="2544"/>
      <c r="J429" s="2727"/>
      <c r="K429" s="2545"/>
      <c r="L429" s="2135"/>
      <c r="M429" s="2136"/>
      <c r="N429" s="2536"/>
      <c r="O429" s="2537">
        <v>1</v>
      </c>
      <c r="P429" s="2538" t="s">
        <v>63</v>
      </c>
      <c r="Q429" s="2725" t="s">
        <v>1256</v>
      </c>
      <c r="R429" s="2726" t="s">
        <v>1076</v>
      </c>
      <c r="S429" s="2726" t="s">
        <v>110</v>
      </c>
      <c r="T429" s="2726" t="s">
        <v>110</v>
      </c>
      <c r="U429" s="2726" t="s">
        <v>111</v>
      </c>
      <c r="V429" s="2726" t="s">
        <v>1257</v>
      </c>
      <c r="W429" s="2726" t="s">
        <v>1258</v>
      </c>
      <c r="X429" s="2726" t="s">
        <v>1259</v>
      </c>
      <c r="Y429" s="2726" t="s">
        <v>103</v>
      </c>
      <c r="Z429" s="1184"/>
      <c r="AA429" s="1185"/>
      <c r="AB429" s="1185"/>
      <c r="AC429" s="1189"/>
      <c r="AD429" s="1189"/>
      <c r="AE429" s="1190"/>
      <c r="AF429" s="2534"/>
      <c r="AG429" s="2535"/>
      <c r="AH429" s="2535"/>
      <c r="AI429" s="2534"/>
      <c r="AJ429" s="2535"/>
      <c r="AK429" s="2535"/>
      <c r="AL429" s="1994"/>
      <c r="AM429" s="1831"/>
      <c r="AN429" s="1831"/>
      <c r="AO429" s="1831"/>
      <c r="AP429" s="1831"/>
      <c r="AQ429" s="1831"/>
      <c r="AR429" s="1831"/>
      <c r="AS429" s="1831"/>
      <c r="AT429" s="1831"/>
      <c r="AU429" s="1831"/>
      <c r="AV429" s="1831"/>
      <c r="AW429" s="1831"/>
      <c r="AX429" s="1831"/>
      <c r="AY429" s="1831"/>
      <c r="AZ429" s="1831"/>
      <c r="BA429" s="1831"/>
      <c r="BB429" s="1831"/>
      <c r="BC429" s="1831"/>
      <c r="BD429" s="1831"/>
      <c r="BE429" s="1831"/>
      <c r="BF429" s="1831"/>
      <c r="BG429" s="1644"/>
    </row>
    <row customHeight="1" ht="11.25">
      <c r="A430" s="1175" t="s">
        <v>1036</v>
      </c>
      <c r="B430" s="1175"/>
      <c r="C430" s="1175"/>
      <c r="D430" s="1169"/>
      <c r="E430" s="1179"/>
      <c r="F430" s="1837"/>
      <c r="G430" s="1838"/>
      <c r="H430" s="2543" t="s">
        <v>1252</v>
      </c>
      <c r="I430" s="2544"/>
      <c r="J430" s="2727"/>
      <c r="K430" s="2545"/>
      <c r="L430" s="2135"/>
      <c r="M430" s="2136"/>
      <c r="N430" s="2536"/>
      <c r="O430" s="2537"/>
      <c r="P430" s="2539"/>
      <c r="Q430" s="2725"/>
      <c r="R430" s="2541"/>
      <c r="S430" s="2542"/>
      <c r="T430" s="2541"/>
      <c r="U430" s="2541"/>
      <c r="V430" s="2541"/>
      <c r="W430" s="2541"/>
      <c r="X430" s="2541"/>
      <c r="Y430" s="2541"/>
      <c r="Z430" s="1836"/>
      <c r="AA430" s="1802">
        <v>1</v>
      </c>
      <c r="AB430" s="1188" t="s">
        <v>1081</v>
      </c>
      <c r="AC430" s="1178">
        <v>41.49</v>
      </c>
      <c r="AD430" s="1188" t="str">
        <f>AB430</f>
        <v>      Амортизационные отчисления с выделением результатов переоценки основных средств и нематериальных активов</v>
      </c>
      <c r="AE430" s="1178">
        <v>41.49</v>
      </c>
      <c r="AF430" s="2534"/>
      <c r="AG430" s="2535"/>
      <c r="AH430" s="2535"/>
      <c r="AI430" s="2534"/>
      <c r="AJ430" s="2535"/>
      <c r="AK430" s="2535"/>
      <c r="AL430" s="1994"/>
      <c r="AM430" s="1831"/>
      <c r="AN430" s="1831"/>
      <c r="AO430" s="1831"/>
      <c r="AP430" s="1831"/>
      <c r="AQ430" s="1831"/>
      <c r="AR430" s="1831"/>
      <c r="AS430" s="1831"/>
      <c r="AT430" s="1831"/>
      <c r="AU430" s="1831"/>
      <c r="AV430" s="1831"/>
      <c r="AW430" s="1831"/>
      <c r="AX430" s="1831"/>
      <c r="AY430" s="1831"/>
      <c r="AZ430" s="1831"/>
      <c r="BA430" s="1831"/>
      <c r="BB430" s="1831"/>
      <c r="BC430" s="1831"/>
      <c r="BD430" s="1831"/>
      <c r="BE430" s="1831"/>
      <c r="BF430" s="1831"/>
      <c r="BG430" s="1644"/>
    </row>
    <row customHeight="1" ht="11.25">
      <c r="A431" s="1175" t="s">
        <v>1036</v>
      </c>
      <c r="B431" s="1175"/>
      <c r="C431" s="1175"/>
      <c r="D431" s="1169"/>
      <c r="E431" s="1179"/>
      <c r="F431" s="1838"/>
      <c r="G431" s="1838"/>
      <c r="H431" s="1838"/>
      <c r="I431" s="1838"/>
      <c r="J431" s="1838"/>
      <c r="K431" s="1838"/>
      <c r="L431" s="1838"/>
      <c r="M431" s="1838"/>
      <c r="N431" s="1838"/>
      <c r="O431" s="1838"/>
      <c r="P431" s="1838"/>
      <c r="Q431" s="1838"/>
      <c r="R431" s="1838"/>
      <c r="S431" s="1838"/>
      <c r="T431" s="1838"/>
      <c r="U431" s="1838"/>
      <c r="V431" s="1838"/>
      <c r="W431" s="1838"/>
      <c r="X431" s="1838"/>
      <c r="Y431" s="1838"/>
      <c r="Z431" s="692" t="s">
        <v>104</v>
      </c>
      <c r="AA431" s="1822" t="s">
        <v>103</v>
      </c>
      <c r="AB431" s="1188" t="s">
        <v>1091</v>
      </c>
      <c r="AC431" s="1178">
        <v>373.4</v>
      </c>
      <c r="AD431" s="1188" t="str">
        <f>AB431</f>
        <v>  Прочие собственные средства</v>
      </c>
      <c r="AE431" s="1178">
        <v>373.4</v>
      </c>
      <c r="AF431" s="2095"/>
      <c r="AG431" s="1767"/>
      <c r="AH431" s="1767"/>
      <c r="AI431" s="2095"/>
      <c r="AJ431" s="1767"/>
      <c r="AK431" s="1993"/>
      <c r="AL431" s="1994"/>
      <c r="AM431" s="1831"/>
      <c r="AN431" s="1831"/>
      <c r="AO431" s="1831"/>
      <c r="AP431" s="1831"/>
      <c r="AQ431" s="1831"/>
      <c r="AR431" s="1831"/>
      <c r="AS431" s="1831"/>
      <c r="AT431" s="1831"/>
      <c r="AU431" s="1831"/>
      <c r="AV431" s="1831"/>
      <c r="AW431" s="1831"/>
      <c r="AX431" s="1831"/>
      <c r="AY431" s="1831"/>
      <c r="AZ431" s="1831"/>
      <c r="BA431" s="1831"/>
      <c r="BB431" s="1831"/>
      <c r="BC431" s="1831"/>
      <c r="BD431" s="1831"/>
      <c r="BE431" s="1831"/>
      <c r="BF431" s="1831"/>
      <c r="BG431" s="1644"/>
    </row>
    <row customHeight="1" ht="11.25">
      <c r="A432" s="1175" t="s">
        <v>1036</v>
      </c>
      <c r="B432" s="1175"/>
      <c r="C432" s="1175"/>
      <c r="D432" s="1169"/>
      <c r="E432" s="1179"/>
      <c r="F432" s="1837"/>
      <c r="G432" s="1838"/>
      <c r="H432" s="2543" t="s">
        <v>1252</v>
      </c>
      <c r="I432" s="2544"/>
      <c r="J432" s="2727"/>
      <c r="K432" s="2545"/>
      <c r="L432" s="2135"/>
      <c r="M432" s="2136"/>
      <c r="N432" s="2536"/>
      <c r="O432" s="2537"/>
      <c r="P432" s="2540"/>
      <c r="Q432" s="2725"/>
      <c r="R432" s="2541"/>
      <c r="S432" s="2542"/>
      <c r="T432" s="2541"/>
      <c r="U432" s="2541"/>
      <c r="V432" s="2541"/>
      <c r="W432" s="2541"/>
      <c r="X432" s="2541"/>
      <c r="Y432" s="2541"/>
      <c r="Z432" s="1184"/>
      <c r="AA432" s="1185"/>
      <c r="AB432" s="1250" t="s">
        <v>1082</v>
      </c>
      <c r="AC432" s="1189"/>
      <c r="AD432" s="1189"/>
      <c r="AE432" s="1191"/>
      <c r="AF432" s="2534"/>
      <c r="AG432" s="2535"/>
      <c r="AH432" s="2535"/>
      <c r="AI432" s="2534"/>
      <c r="AJ432" s="2535"/>
      <c r="AK432" s="2535"/>
      <c r="AL432" s="1994"/>
      <c r="AM432" s="1831"/>
      <c r="AN432" s="1831"/>
      <c r="AO432" s="1831"/>
      <c r="AP432" s="1831"/>
      <c r="AQ432" s="1831"/>
      <c r="AR432" s="1831"/>
      <c r="AS432" s="1831"/>
      <c r="AT432" s="1831"/>
      <c r="AU432" s="1831"/>
      <c r="AV432" s="1831"/>
      <c r="AW432" s="1831"/>
      <c r="AX432" s="1831"/>
      <c r="AY432" s="1831"/>
      <c r="AZ432" s="1831"/>
      <c r="BA432" s="1831"/>
      <c r="BB432" s="1831"/>
      <c r="BC432" s="1831"/>
      <c r="BD432" s="1831"/>
      <c r="BE432" s="1831"/>
      <c r="BF432" s="1831"/>
      <c r="BG432" s="1644"/>
    </row>
    <row customHeight="1" ht="11.25">
      <c r="A433" s="1175" t="s">
        <v>1036</v>
      </c>
      <c r="B433" s="1175"/>
      <c r="C433" s="1175"/>
      <c r="D433" s="1169"/>
      <c r="E433" s="1179"/>
      <c r="F433" s="1837"/>
      <c r="G433" s="1838"/>
      <c r="H433" s="2543" t="s">
        <v>1252</v>
      </c>
      <c r="I433" s="2544"/>
      <c r="J433" s="2727"/>
      <c r="K433" s="2545"/>
      <c r="L433" s="2135"/>
      <c r="M433" s="2136"/>
      <c r="N433" s="1184"/>
      <c r="O433" s="1185"/>
      <c r="P433" s="1177" t="s">
        <v>1083</v>
      </c>
      <c r="Q433" s="1185"/>
      <c r="R433" s="1185"/>
      <c r="S433" s="1185"/>
      <c r="T433" s="1185"/>
      <c r="U433" s="1185"/>
      <c r="V433" s="1185"/>
      <c r="W433" s="1185"/>
      <c r="X433" s="1185"/>
      <c r="Y433" s="1185"/>
      <c r="Z433" s="1185"/>
      <c r="AA433" s="1185"/>
      <c r="AB433" s="1185"/>
      <c r="AC433" s="1185"/>
      <c r="AD433" s="1185"/>
      <c r="AE433" s="1192"/>
      <c r="AF433" s="2534"/>
      <c r="AG433" s="2535"/>
      <c r="AH433" s="2535"/>
      <c r="AI433" s="2534"/>
      <c r="AJ433" s="2535"/>
      <c r="AK433" s="2535"/>
      <c r="AL433" s="1994"/>
      <c r="AM433" s="1831"/>
      <c r="AN433" s="1831"/>
      <c r="AO433" s="1831"/>
      <c r="AP433" s="1831"/>
      <c r="AQ433" s="1831"/>
      <c r="AR433" s="1831"/>
      <c r="AS433" s="1831"/>
      <c r="AT433" s="1831"/>
      <c r="AU433" s="1831"/>
      <c r="AV433" s="1831"/>
      <c r="AW433" s="1831"/>
      <c r="AX433" s="1831"/>
      <c r="AY433" s="1831"/>
      <c r="AZ433" s="1831"/>
      <c r="BA433" s="1831"/>
      <c r="BB433" s="1831"/>
      <c r="BC433" s="1831"/>
      <c r="BD433" s="1831"/>
      <c r="BE433" s="1831"/>
      <c r="BF433" s="1831"/>
      <c r="BG433" s="1644"/>
    </row>
    <row customHeight="1" ht="11.25">
      <c r="A434" s="1175" t="s">
        <v>1036</v>
      </c>
      <c r="B434" s="1175" t="s">
        <v>22</v>
      </c>
      <c r="C434" s="1175"/>
      <c r="D434" s="1169"/>
      <c r="E434" s="1179"/>
      <c r="F434" s="1837"/>
      <c r="G434" s="692" t="s">
        <v>104</v>
      </c>
      <c r="H434" s="2543" t="s">
        <v>1260</v>
      </c>
      <c r="I434" s="2544" t="s">
        <v>1147</v>
      </c>
      <c r="J434" s="2727" t="s">
        <v>22</v>
      </c>
      <c r="K434" s="2545" t="s">
        <v>1261</v>
      </c>
      <c r="L434" s="2135" t="s">
        <v>19</v>
      </c>
      <c r="M434" s="2136"/>
      <c r="N434" s="1992"/>
      <c r="O434" s="1186" t="s">
        <v>391</v>
      </c>
      <c r="P434" s="1187"/>
      <c r="Q434" s="1187"/>
      <c r="R434" s="1187"/>
      <c r="S434" s="1187"/>
      <c r="T434" s="1187"/>
      <c r="U434" s="1187"/>
      <c r="V434" s="1187"/>
      <c r="W434" s="1187"/>
      <c r="X434" s="1187"/>
      <c r="Y434" s="1187"/>
      <c r="Z434" s="1187"/>
      <c r="AA434" s="1187"/>
      <c r="AB434" s="1187"/>
      <c r="AC434" s="1187"/>
      <c r="AD434" s="1187"/>
      <c r="AE434" s="1187"/>
      <c r="AF434" s="2534">
        <v>1</v>
      </c>
      <c r="AG434" s="2535" t="s">
        <v>1072</v>
      </c>
      <c r="AH434" s="2535" t="s">
        <v>1085</v>
      </c>
      <c r="AI434" s="2534">
        <v>1</v>
      </c>
      <c r="AJ434" s="2535" t="s">
        <v>1145</v>
      </c>
      <c r="AK434" s="2535" t="s">
        <v>1085</v>
      </c>
      <c r="AL434" s="1994"/>
      <c r="AM434" s="1831"/>
      <c r="AN434" s="1831"/>
      <c r="AO434" s="1831"/>
      <c r="AP434" s="1831"/>
      <c r="AQ434" s="1831"/>
      <c r="AR434" s="1831"/>
      <c r="AS434" s="1831"/>
      <c r="AT434" s="1831"/>
      <c r="AU434" s="1831"/>
      <c r="AV434" s="1831"/>
      <c r="AW434" s="1831"/>
      <c r="AX434" s="1831"/>
      <c r="AY434" s="1831"/>
      <c r="AZ434" s="1831"/>
      <c r="BA434" s="1831"/>
      <c r="BB434" s="1831"/>
      <c r="BC434" s="1831"/>
      <c r="BD434" s="1831"/>
      <c r="BE434" s="1831"/>
      <c r="BF434" s="1831"/>
      <c r="BG434" s="1644"/>
    </row>
    <row customHeight="1" ht="11.25">
      <c r="A435" s="1175" t="s">
        <v>1036</v>
      </c>
      <c r="B435" s="1175"/>
      <c r="C435" s="1175"/>
      <c r="D435" s="1169"/>
      <c r="E435" s="1179"/>
      <c r="F435" s="1837"/>
      <c r="G435" s="1838"/>
      <c r="H435" s="2543" t="s">
        <v>1254</v>
      </c>
      <c r="I435" s="2544"/>
      <c r="J435" s="2727"/>
      <c r="K435" s="2545"/>
      <c r="L435" s="2135"/>
      <c r="M435" s="2136"/>
      <c r="N435" s="2536"/>
      <c r="O435" s="2537">
        <v>1</v>
      </c>
      <c r="P435" s="2538" t="s">
        <v>63</v>
      </c>
      <c r="Q435" s="2725" t="s">
        <v>1256</v>
      </c>
      <c r="R435" s="2726" t="s">
        <v>1076</v>
      </c>
      <c r="S435" s="2726" t="s">
        <v>110</v>
      </c>
      <c r="T435" s="2726" t="s">
        <v>110</v>
      </c>
      <c r="U435" s="2726" t="s">
        <v>111</v>
      </c>
      <c r="V435" s="2726" t="s">
        <v>1257</v>
      </c>
      <c r="W435" s="2726" t="s">
        <v>1258</v>
      </c>
      <c r="X435" s="2726" t="s">
        <v>1259</v>
      </c>
      <c r="Y435" s="2726" t="s">
        <v>103</v>
      </c>
      <c r="Z435" s="1184"/>
      <c r="AA435" s="1185"/>
      <c r="AB435" s="1185"/>
      <c r="AC435" s="1189"/>
      <c r="AD435" s="1189"/>
      <c r="AE435" s="1190"/>
      <c r="AF435" s="2534"/>
      <c r="AG435" s="2535"/>
      <c r="AH435" s="2535"/>
      <c r="AI435" s="2534"/>
      <c r="AJ435" s="2535"/>
      <c r="AK435" s="2535"/>
      <c r="AL435" s="1994"/>
      <c r="AM435" s="1831"/>
      <c r="AN435" s="1831"/>
      <c r="AO435" s="1831"/>
      <c r="AP435" s="1831"/>
      <c r="AQ435" s="1831"/>
      <c r="AR435" s="1831"/>
      <c r="AS435" s="1831"/>
      <c r="AT435" s="1831"/>
      <c r="AU435" s="1831"/>
      <c r="AV435" s="1831"/>
      <c r="AW435" s="1831"/>
      <c r="AX435" s="1831"/>
      <c r="AY435" s="1831"/>
      <c r="AZ435" s="1831"/>
      <c r="BA435" s="1831"/>
      <c r="BB435" s="1831"/>
      <c r="BC435" s="1831"/>
      <c r="BD435" s="1831"/>
      <c r="BE435" s="1831"/>
      <c r="BF435" s="1831"/>
      <c r="BG435" s="1644"/>
    </row>
    <row customHeight="1" ht="11.25">
      <c r="A436" s="1175" t="s">
        <v>1036</v>
      </c>
      <c r="B436" s="1175"/>
      <c r="C436" s="1175"/>
      <c r="D436" s="1169"/>
      <c r="E436" s="1179"/>
      <c r="F436" s="1837"/>
      <c r="G436" s="1838"/>
      <c r="H436" s="2543" t="s">
        <v>1254</v>
      </c>
      <c r="I436" s="2544"/>
      <c r="J436" s="2727"/>
      <c r="K436" s="2545"/>
      <c r="L436" s="2135"/>
      <c r="M436" s="2136"/>
      <c r="N436" s="2536"/>
      <c r="O436" s="2537"/>
      <c r="P436" s="2539"/>
      <c r="Q436" s="2725"/>
      <c r="R436" s="2541"/>
      <c r="S436" s="2542"/>
      <c r="T436" s="2541"/>
      <c r="U436" s="2541"/>
      <c r="V436" s="2541"/>
      <c r="W436" s="2541"/>
      <c r="X436" s="2541"/>
      <c r="Y436" s="2541"/>
      <c r="Z436" s="1836"/>
      <c r="AA436" s="1802">
        <v>1</v>
      </c>
      <c r="AB436" s="1188" t="s">
        <v>1081</v>
      </c>
      <c r="AC436" s="1178">
        <v>385.16</v>
      </c>
      <c r="AD436" s="1188" t="str">
        <f>AB436</f>
        <v>      Амортизационные отчисления с выделением результатов переоценки основных средств и нематериальных активов</v>
      </c>
      <c r="AE436" s="1178">
        <v>0</v>
      </c>
      <c r="AF436" s="2534"/>
      <c r="AG436" s="2535"/>
      <c r="AH436" s="2535"/>
      <c r="AI436" s="2534"/>
      <c r="AJ436" s="2535"/>
      <c r="AK436" s="2535"/>
      <c r="AL436" s="1994"/>
      <c r="AM436" s="1831"/>
      <c r="AN436" s="1831"/>
      <c r="AO436" s="1831"/>
      <c r="AP436" s="1831"/>
      <c r="AQ436" s="1831"/>
      <c r="AR436" s="1831"/>
      <c r="AS436" s="1831"/>
      <c r="AT436" s="1831"/>
      <c r="AU436" s="1831"/>
      <c r="AV436" s="1831"/>
      <c r="AW436" s="1831"/>
      <c r="AX436" s="1831"/>
      <c r="AY436" s="1831"/>
      <c r="AZ436" s="1831"/>
      <c r="BA436" s="1831"/>
      <c r="BB436" s="1831"/>
      <c r="BC436" s="1831"/>
      <c r="BD436" s="1831"/>
      <c r="BE436" s="1831"/>
      <c r="BF436" s="1831"/>
      <c r="BG436" s="1644"/>
    </row>
    <row customHeight="1" ht="11.25">
      <c r="A437" s="1175" t="s">
        <v>1036</v>
      </c>
      <c r="B437" s="1175"/>
      <c r="C437" s="1175"/>
      <c r="D437" s="1169"/>
      <c r="E437" s="1179"/>
      <c r="F437" s="1838"/>
      <c r="G437" s="1838"/>
      <c r="H437" s="1838"/>
      <c r="I437" s="1838"/>
      <c r="J437" s="1838"/>
      <c r="K437" s="1838"/>
      <c r="L437" s="1838"/>
      <c r="M437" s="1838"/>
      <c r="N437" s="1838"/>
      <c r="O437" s="1838"/>
      <c r="P437" s="1838"/>
      <c r="Q437" s="1838"/>
      <c r="R437" s="1838"/>
      <c r="S437" s="1838"/>
      <c r="T437" s="1838"/>
      <c r="U437" s="1838"/>
      <c r="V437" s="1838"/>
      <c r="W437" s="1838"/>
      <c r="X437" s="1838"/>
      <c r="Y437" s="1838"/>
      <c r="Z437" s="692" t="s">
        <v>104</v>
      </c>
      <c r="AA437" s="1822" t="s">
        <v>103</v>
      </c>
      <c r="AB437" s="1188" t="s">
        <v>1091</v>
      </c>
      <c r="AC437" s="1178">
        <v>3466.46</v>
      </c>
      <c r="AD437" s="1188" t="str">
        <f>AB437</f>
        <v>  Прочие собственные средства</v>
      </c>
      <c r="AE437" s="1178">
        <v>26116.7</v>
      </c>
      <c r="AF437" s="2095"/>
      <c r="AG437" s="1767"/>
      <c r="AH437" s="1767"/>
      <c r="AI437" s="2095"/>
      <c r="AJ437" s="1767"/>
      <c r="AK437" s="1993"/>
      <c r="AL437" s="1994"/>
      <c r="AM437" s="1831"/>
      <c r="AN437" s="1831"/>
      <c r="AO437" s="1831"/>
      <c r="AP437" s="1831"/>
      <c r="AQ437" s="1831"/>
      <c r="AR437" s="1831"/>
      <c r="AS437" s="1831"/>
      <c r="AT437" s="1831"/>
      <c r="AU437" s="1831"/>
      <c r="AV437" s="1831"/>
      <c r="AW437" s="1831"/>
      <c r="AX437" s="1831"/>
      <c r="AY437" s="1831"/>
      <c r="AZ437" s="1831"/>
      <c r="BA437" s="1831"/>
      <c r="BB437" s="1831"/>
      <c r="BC437" s="1831"/>
      <c r="BD437" s="1831"/>
      <c r="BE437" s="1831"/>
      <c r="BF437" s="1831"/>
      <c r="BG437" s="1644"/>
    </row>
    <row customHeight="1" ht="11.25">
      <c r="A438" s="1175" t="s">
        <v>1036</v>
      </c>
      <c r="B438" s="1175"/>
      <c r="C438" s="1175"/>
      <c r="D438" s="1169"/>
      <c r="E438" s="1179"/>
      <c r="F438" s="1837"/>
      <c r="G438" s="1838"/>
      <c r="H438" s="2543" t="s">
        <v>1254</v>
      </c>
      <c r="I438" s="2544"/>
      <c r="J438" s="2727"/>
      <c r="K438" s="2545"/>
      <c r="L438" s="2135"/>
      <c r="M438" s="2136"/>
      <c r="N438" s="2536"/>
      <c r="O438" s="2537"/>
      <c r="P438" s="2540"/>
      <c r="Q438" s="2725"/>
      <c r="R438" s="2541"/>
      <c r="S438" s="2542"/>
      <c r="T438" s="2541"/>
      <c r="U438" s="2541"/>
      <c r="V438" s="2541"/>
      <c r="W438" s="2541"/>
      <c r="X438" s="2541"/>
      <c r="Y438" s="2541"/>
      <c r="Z438" s="1184"/>
      <c r="AA438" s="1185"/>
      <c r="AB438" s="1250" t="s">
        <v>1082</v>
      </c>
      <c r="AC438" s="1189"/>
      <c r="AD438" s="1189"/>
      <c r="AE438" s="1191"/>
      <c r="AF438" s="2534"/>
      <c r="AG438" s="2535"/>
      <c r="AH438" s="2535"/>
      <c r="AI438" s="2534"/>
      <c r="AJ438" s="2535"/>
      <c r="AK438" s="2535"/>
      <c r="AL438" s="1994"/>
      <c r="AM438" s="1831"/>
      <c r="AN438" s="1831"/>
      <c r="AO438" s="1831"/>
      <c r="AP438" s="1831"/>
      <c r="AQ438" s="1831"/>
      <c r="AR438" s="1831"/>
      <c r="AS438" s="1831"/>
      <c r="AT438" s="1831"/>
      <c r="AU438" s="1831"/>
      <c r="AV438" s="1831"/>
      <c r="AW438" s="1831"/>
      <c r="AX438" s="1831"/>
      <c r="AY438" s="1831"/>
      <c r="AZ438" s="1831"/>
      <c r="BA438" s="1831"/>
      <c r="BB438" s="1831"/>
      <c r="BC438" s="1831"/>
      <c r="BD438" s="1831"/>
      <c r="BE438" s="1831"/>
      <c r="BF438" s="1831"/>
      <c r="BG438" s="1644"/>
    </row>
    <row customHeight="1" ht="11.25">
      <c r="A439" s="1175" t="s">
        <v>1036</v>
      </c>
      <c r="B439" s="1175"/>
      <c r="C439" s="1175"/>
      <c r="D439" s="1169"/>
      <c r="E439" s="1179"/>
      <c r="F439" s="1837"/>
      <c r="G439" s="1838"/>
      <c r="H439" s="2543" t="s">
        <v>1254</v>
      </c>
      <c r="I439" s="2544"/>
      <c r="J439" s="2727"/>
      <c r="K439" s="2545"/>
      <c r="L439" s="2135"/>
      <c r="M439" s="2136"/>
      <c r="N439" s="1184"/>
      <c r="O439" s="1185"/>
      <c r="P439" s="1177" t="s">
        <v>1083</v>
      </c>
      <c r="Q439" s="1185"/>
      <c r="R439" s="1185"/>
      <c r="S439" s="1185"/>
      <c r="T439" s="1185"/>
      <c r="U439" s="1185"/>
      <c r="V439" s="1185"/>
      <c r="W439" s="1185"/>
      <c r="X439" s="1185"/>
      <c r="Y439" s="1185"/>
      <c r="Z439" s="1185"/>
      <c r="AA439" s="1185"/>
      <c r="AB439" s="1185"/>
      <c r="AC439" s="1185"/>
      <c r="AD439" s="1185"/>
      <c r="AE439" s="1192"/>
      <c r="AF439" s="2534"/>
      <c r="AG439" s="2535"/>
      <c r="AH439" s="2535"/>
      <c r="AI439" s="2534"/>
      <c r="AJ439" s="2535"/>
      <c r="AK439" s="2535"/>
      <c r="AL439" s="1994"/>
      <c r="AM439" s="1831"/>
      <c r="AN439" s="1831"/>
      <c r="AO439" s="1831"/>
      <c r="AP439" s="1831"/>
      <c r="AQ439" s="1831"/>
      <c r="AR439" s="1831"/>
      <c r="AS439" s="1831"/>
      <c r="AT439" s="1831"/>
      <c r="AU439" s="1831"/>
      <c r="AV439" s="1831"/>
      <c r="AW439" s="1831"/>
      <c r="AX439" s="1831"/>
      <c r="AY439" s="1831"/>
      <c r="AZ439" s="1831"/>
      <c r="BA439" s="1831"/>
      <c r="BB439" s="1831"/>
      <c r="BC439" s="1831"/>
      <c r="BD439" s="1831"/>
      <c r="BE439" s="1831"/>
      <c r="BF439" s="1831"/>
      <c r="BG439" s="1644"/>
    </row>
    <row customHeight="1" ht="11.25">
      <c r="A440" s="1175" t="s">
        <v>1036</v>
      </c>
      <c r="B440" s="1175" t="s">
        <v>22</v>
      </c>
      <c r="C440" s="1175"/>
      <c r="D440" s="1169"/>
      <c r="E440" s="1179"/>
      <c r="F440" s="1837"/>
      <c r="G440" s="692" t="s">
        <v>104</v>
      </c>
      <c r="H440" s="2543" t="s">
        <v>1262</v>
      </c>
      <c r="I440" s="2544" t="s">
        <v>1137</v>
      </c>
      <c r="J440" s="2727" t="s">
        <v>22</v>
      </c>
      <c r="K440" s="2545" t="s">
        <v>1263</v>
      </c>
      <c r="L440" s="2135" t="s">
        <v>19</v>
      </c>
      <c r="M440" s="2136"/>
      <c r="N440" s="1992"/>
      <c r="O440" s="1186" t="s">
        <v>391</v>
      </c>
      <c r="P440" s="1187"/>
      <c r="Q440" s="1187"/>
      <c r="R440" s="1187"/>
      <c r="S440" s="1187"/>
      <c r="T440" s="1187"/>
      <c r="U440" s="1187"/>
      <c r="V440" s="1187"/>
      <c r="W440" s="1187"/>
      <c r="X440" s="1187"/>
      <c r="Y440" s="1187"/>
      <c r="Z440" s="1187"/>
      <c r="AA440" s="1187"/>
      <c r="AB440" s="1187"/>
      <c r="AC440" s="1187"/>
      <c r="AD440" s="1187"/>
      <c r="AE440" s="1187"/>
      <c r="AF440" s="2534">
        <v>5</v>
      </c>
      <c r="AG440" s="2535" t="s">
        <v>1072</v>
      </c>
      <c r="AH440" s="2535" t="s">
        <v>1158</v>
      </c>
      <c r="AI440" s="2906">
        <v>1</v>
      </c>
      <c r="AJ440" s="2535" t="s">
        <v>1072</v>
      </c>
      <c r="AK440" s="2535" t="s">
        <v>1085</v>
      </c>
      <c r="AL440" s="1994"/>
      <c r="AM440" s="1831"/>
      <c r="AN440" s="1831"/>
      <c r="AO440" s="1831"/>
      <c r="AP440" s="1831"/>
      <c r="AQ440" s="1831"/>
      <c r="AR440" s="1831"/>
      <c r="AS440" s="1831"/>
      <c r="AT440" s="1831"/>
      <c r="AU440" s="1831"/>
      <c r="AV440" s="1831"/>
      <c r="AW440" s="1831"/>
      <c r="AX440" s="1831"/>
      <c r="AY440" s="1831"/>
      <c r="AZ440" s="1831"/>
      <c r="BA440" s="1831"/>
      <c r="BB440" s="1831"/>
      <c r="BC440" s="1831"/>
      <c r="BD440" s="1831"/>
      <c r="BE440" s="1831"/>
      <c r="BF440" s="1831"/>
      <c r="BG440" s="1644"/>
    </row>
    <row customHeight="1" ht="11.25">
      <c r="A441" s="1175" t="s">
        <v>1036</v>
      </c>
      <c r="B441" s="1175"/>
      <c r="C441" s="1175"/>
      <c r="D441" s="1169"/>
      <c r="E441" s="1179"/>
      <c r="F441" s="1837"/>
      <c r="G441" s="1838"/>
      <c r="H441" s="2543" t="s">
        <v>1260</v>
      </c>
      <c r="I441" s="2544"/>
      <c r="J441" s="2727"/>
      <c r="K441" s="2545"/>
      <c r="L441" s="2135"/>
      <c r="M441" s="2136"/>
      <c r="N441" s="2536"/>
      <c r="O441" s="2537">
        <v>1</v>
      </c>
      <c r="P441" s="2538" t="s">
        <v>63</v>
      </c>
      <c r="Q441" s="2725" t="s">
        <v>1256</v>
      </c>
      <c r="R441" s="2726" t="s">
        <v>1076</v>
      </c>
      <c r="S441" s="2726" t="s">
        <v>110</v>
      </c>
      <c r="T441" s="2726" t="s">
        <v>110</v>
      </c>
      <c r="U441" s="2726" t="s">
        <v>111</v>
      </c>
      <c r="V441" s="2726" t="s">
        <v>1257</v>
      </c>
      <c r="W441" s="2726" t="s">
        <v>1258</v>
      </c>
      <c r="X441" s="2726" t="s">
        <v>1259</v>
      </c>
      <c r="Y441" s="2726" t="s">
        <v>103</v>
      </c>
      <c r="Z441" s="1184"/>
      <c r="AA441" s="1185"/>
      <c r="AB441" s="1185"/>
      <c r="AC441" s="1189"/>
      <c r="AD441" s="1189"/>
      <c r="AE441" s="1190"/>
      <c r="AF441" s="2534"/>
      <c r="AG441" s="2535"/>
      <c r="AH441" s="2535"/>
      <c r="AI441" s="2906"/>
      <c r="AJ441" s="2535"/>
      <c r="AK441" s="2535"/>
      <c r="AL441" s="1994"/>
      <c r="AM441" s="1831"/>
      <c r="AN441" s="1831"/>
      <c r="AO441" s="1831"/>
      <c r="AP441" s="1831"/>
      <c r="AQ441" s="1831"/>
      <c r="AR441" s="1831"/>
      <c r="AS441" s="1831"/>
      <c r="AT441" s="1831"/>
      <c r="AU441" s="1831"/>
      <c r="AV441" s="1831"/>
      <c r="AW441" s="1831"/>
      <c r="AX441" s="1831"/>
      <c r="AY441" s="1831"/>
      <c r="AZ441" s="1831"/>
      <c r="BA441" s="1831"/>
      <c r="BB441" s="1831"/>
      <c r="BC441" s="1831"/>
      <c r="BD441" s="1831"/>
      <c r="BE441" s="1831"/>
      <c r="BF441" s="1831"/>
      <c r="BG441" s="1644"/>
    </row>
    <row customHeight="1" ht="11.25">
      <c r="A442" s="1175" t="s">
        <v>1036</v>
      </c>
      <c r="B442" s="1175"/>
      <c r="C442" s="1175"/>
      <c r="D442" s="1169"/>
      <c r="E442" s="1179"/>
      <c r="F442" s="1837"/>
      <c r="G442" s="1838"/>
      <c r="H442" s="2543" t="s">
        <v>1260</v>
      </c>
      <c r="I442" s="2544"/>
      <c r="J442" s="2727"/>
      <c r="K442" s="2545"/>
      <c r="L442" s="2135"/>
      <c r="M442" s="2136"/>
      <c r="N442" s="2536"/>
      <c r="O442" s="2537"/>
      <c r="P442" s="2539"/>
      <c r="Q442" s="2725"/>
      <c r="R442" s="2541"/>
      <c r="S442" s="2542"/>
      <c r="T442" s="2541"/>
      <c r="U442" s="2541"/>
      <c r="V442" s="2541"/>
      <c r="W442" s="2541"/>
      <c r="X442" s="2541"/>
      <c r="Y442" s="2541"/>
      <c r="Z442" s="1836"/>
      <c r="AA442" s="1802">
        <v>1</v>
      </c>
      <c r="AB442" s="1188" t="s">
        <v>1081</v>
      </c>
      <c r="AC442" s="1178">
        <v>519.97</v>
      </c>
      <c r="AD442" s="1188" t="str">
        <f>AB442</f>
        <v>      Амортизационные отчисления с выделением результатов переоценки основных средств и нематериальных активов</v>
      </c>
      <c r="AE442" s="1178">
        <v>519.97</v>
      </c>
      <c r="AF442" s="2534"/>
      <c r="AG442" s="2535"/>
      <c r="AH442" s="2535"/>
      <c r="AI442" s="2906"/>
      <c r="AJ442" s="2535"/>
      <c r="AK442" s="2535"/>
      <c r="AL442" s="1994"/>
      <c r="AM442" s="1831"/>
      <c r="AN442" s="1831"/>
      <c r="AO442" s="1831"/>
      <c r="AP442" s="1831"/>
      <c r="AQ442" s="1831"/>
      <c r="AR442" s="1831"/>
      <c r="AS442" s="1831"/>
      <c r="AT442" s="1831"/>
      <c r="AU442" s="1831"/>
      <c r="AV442" s="1831"/>
      <c r="AW442" s="1831"/>
      <c r="AX442" s="1831"/>
      <c r="AY442" s="1831"/>
      <c r="AZ442" s="1831"/>
      <c r="BA442" s="1831"/>
      <c r="BB442" s="1831"/>
      <c r="BC442" s="1831"/>
      <c r="BD442" s="1831"/>
      <c r="BE442" s="1831"/>
      <c r="BF442" s="1831"/>
      <c r="BG442" s="1644"/>
    </row>
    <row customHeight="1" ht="11.25">
      <c r="A443" s="1175" t="s">
        <v>1036</v>
      </c>
      <c r="B443" s="1175"/>
      <c r="C443" s="1175"/>
      <c r="D443" s="1169"/>
      <c r="E443" s="1179"/>
      <c r="F443" s="1838"/>
      <c r="G443" s="1838"/>
      <c r="H443" s="1838"/>
      <c r="I443" s="1838"/>
      <c r="J443" s="1838"/>
      <c r="K443" s="1838"/>
      <c r="L443" s="1838"/>
      <c r="M443" s="1838"/>
      <c r="N443" s="1838"/>
      <c r="O443" s="1838"/>
      <c r="P443" s="1838"/>
      <c r="Q443" s="1838"/>
      <c r="R443" s="1838"/>
      <c r="S443" s="1838"/>
      <c r="T443" s="1838"/>
      <c r="U443" s="1838"/>
      <c r="V443" s="1838"/>
      <c r="W443" s="1838"/>
      <c r="X443" s="1838"/>
      <c r="Y443" s="1838"/>
      <c r="Z443" s="692" t="s">
        <v>104</v>
      </c>
      <c r="AA443" s="1822" t="s">
        <v>103</v>
      </c>
      <c r="AB443" s="1188" t="s">
        <v>1091</v>
      </c>
      <c r="AC443" s="1178">
        <v>4679.74</v>
      </c>
      <c r="AD443" s="1188" t="str">
        <f>AB443</f>
        <v>  Прочие собственные средства</v>
      </c>
      <c r="AE443" s="1178">
        <v>4509.07</v>
      </c>
      <c r="AF443" s="2095"/>
      <c r="AG443" s="1767"/>
      <c r="AH443" s="1767"/>
      <c r="AI443" s="2908"/>
      <c r="AJ443" s="1767"/>
      <c r="AK443" s="1993"/>
      <c r="AL443" s="1994"/>
      <c r="AM443" s="1831"/>
      <c r="AN443" s="1831"/>
      <c r="AO443" s="1831"/>
      <c r="AP443" s="1831"/>
      <c r="AQ443" s="1831"/>
      <c r="AR443" s="1831"/>
      <c r="AS443" s="1831"/>
      <c r="AT443" s="1831"/>
      <c r="AU443" s="1831"/>
      <c r="AV443" s="1831"/>
      <c r="AW443" s="1831"/>
      <c r="AX443" s="1831"/>
      <c r="AY443" s="1831"/>
      <c r="AZ443" s="1831"/>
      <c r="BA443" s="1831"/>
      <c r="BB443" s="1831"/>
      <c r="BC443" s="1831"/>
      <c r="BD443" s="1831"/>
      <c r="BE443" s="1831"/>
      <c r="BF443" s="1831"/>
      <c r="BG443" s="1644"/>
    </row>
    <row customHeight="1" ht="11.25">
      <c r="A444" s="1175" t="s">
        <v>1036</v>
      </c>
      <c r="B444" s="1175"/>
      <c r="C444" s="1175"/>
      <c r="D444" s="1169"/>
      <c r="E444" s="1179"/>
      <c r="F444" s="1837"/>
      <c r="G444" s="1838"/>
      <c r="H444" s="2543" t="s">
        <v>1260</v>
      </c>
      <c r="I444" s="2544"/>
      <c r="J444" s="2727"/>
      <c r="K444" s="2545"/>
      <c r="L444" s="2135"/>
      <c r="M444" s="2136"/>
      <c r="N444" s="2536"/>
      <c r="O444" s="2537"/>
      <c r="P444" s="2540"/>
      <c r="Q444" s="2725"/>
      <c r="R444" s="2541"/>
      <c r="S444" s="2542"/>
      <c r="T444" s="2541"/>
      <c r="U444" s="2541"/>
      <c r="V444" s="2541"/>
      <c r="W444" s="2541"/>
      <c r="X444" s="2541"/>
      <c r="Y444" s="2541"/>
      <c r="Z444" s="1184"/>
      <c r="AA444" s="1185"/>
      <c r="AB444" s="1250" t="s">
        <v>1082</v>
      </c>
      <c r="AC444" s="1189"/>
      <c r="AD444" s="1189"/>
      <c r="AE444" s="1191"/>
      <c r="AF444" s="2534"/>
      <c r="AG444" s="2535"/>
      <c r="AH444" s="2535"/>
      <c r="AI444" s="2906"/>
      <c r="AJ444" s="2535"/>
      <c r="AK444" s="2535"/>
      <c r="AL444" s="1994"/>
      <c r="AM444" s="1831"/>
      <c r="AN444" s="1831"/>
      <c r="AO444" s="1831"/>
      <c r="AP444" s="1831"/>
      <c r="AQ444" s="1831"/>
      <c r="AR444" s="1831"/>
      <c r="AS444" s="1831"/>
      <c r="AT444" s="1831"/>
      <c r="AU444" s="1831"/>
      <c r="AV444" s="1831"/>
      <c r="AW444" s="1831"/>
      <c r="AX444" s="1831"/>
      <c r="AY444" s="1831"/>
      <c r="AZ444" s="1831"/>
      <c r="BA444" s="1831"/>
      <c r="BB444" s="1831"/>
      <c r="BC444" s="1831"/>
      <c r="BD444" s="1831"/>
      <c r="BE444" s="1831"/>
      <c r="BF444" s="1831"/>
      <c r="BG444" s="1644"/>
    </row>
    <row customHeight="1" ht="11.25">
      <c r="A445" s="1175" t="s">
        <v>1036</v>
      </c>
      <c r="B445" s="1175"/>
      <c r="C445" s="1175"/>
      <c r="D445" s="1169"/>
      <c r="E445" s="1179"/>
      <c r="F445" s="1837"/>
      <c r="G445" s="1838"/>
      <c r="H445" s="2543" t="s">
        <v>1260</v>
      </c>
      <c r="I445" s="2544"/>
      <c r="J445" s="2727"/>
      <c r="K445" s="2545"/>
      <c r="L445" s="2135"/>
      <c r="M445" s="2136"/>
      <c r="N445" s="1184"/>
      <c r="O445" s="1185"/>
      <c r="P445" s="1177" t="s">
        <v>1083</v>
      </c>
      <c r="Q445" s="1185"/>
      <c r="R445" s="1185"/>
      <c r="S445" s="1185"/>
      <c r="T445" s="1185"/>
      <c r="U445" s="1185"/>
      <c r="V445" s="1185"/>
      <c r="W445" s="1185"/>
      <c r="X445" s="1185"/>
      <c r="Y445" s="1185"/>
      <c r="Z445" s="1185"/>
      <c r="AA445" s="1185"/>
      <c r="AB445" s="1185"/>
      <c r="AC445" s="1185"/>
      <c r="AD445" s="1185"/>
      <c r="AE445" s="1192"/>
      <c r="AF445" s="2534"/>
      <c r="AG445" s="2535"/>
      <c r="AH445" s="2535"/>
      <c r="AI445" s="2906"/>
      <c r="AJ445" s="2535"/>
      <c r="AK445" s="2535"/>
      <c r="AL445" s="1994"/>
      <c r="AM445" s="1831"/>
      <c r="AN445" s="1831"/>
      <c r="AO445" s="1831"/>
      <c r="AP445" s="1831"/>
      <c r="AQ445" s="1831"/>
      <c r="AR445" s="1831"/>
      <c r="AS445" s="1831"/>
      <c r="AT445" s="1831"/>
      <c r="AU445" s="1831"/>
      <c r="AV445" s="1831"/>
      <c r="AW445" s="1831"/>
      <c r="AX445" s="1831"/>
      <c r="AY445" s="1831"/>
      <c r="AZ445" s="1831"/>
      <c r="BA445" s="1831"/>
      <c r="BB445" s="1831"/>
      <c r="BC445" s="1831"/>
      <c r="BD445" s="1831"/>
      <c r="BE445" s="1831"/>
      <c r="BF445" s="1831"/>
      <c r="BG445" s="1644"/>
    </row>
    <row customHeight="1" ht="11.25">
      <c r="A446" s="1175" t="s">
        <v>1036</v>
      </c>
      <c r="B446" s="1175" t="s">
        <v>22</v>
      </c>
      <c r="C446" s="1175"/>
      <c r="D446" s="1169"/>
      <c r="E446" s="1179"/>
      <c r="F446" s="1837"/>
      <c r="G446" s="692" t="s">
        <v>104</v>
      </c>
      <c r="H446" s="2543" t="s">
        <v>1264</v>
      </c>
      <c r="I446" s="2544" t="s">
        <v>1137</v>
      </c>
      <c r="J446" s="2727" t="s">
        <v>22</v>
      </c>
      <c r="K446" s="2545" t="s">
        <v>1265</v>
      </c>
      <c r="L446" s="2135" t="s">
        <v>19</v>
      </c>
      <c r="M446" s="2136"/>
      <c r="N446" s="1992"/>
      <c r="O446" s="1186" t="s">
        <v>391</v>
      </c>
      <c r="P446" s="1187"/>
      <c r="Q446" s="1187"/>
      <c r="R446" s="1187"/>
      <c r="S446" s="1187"/>
      <c r="T446" s="1187"/>
      <c r="U446" s="1187"/>
      <c r="V446" s="1187"/>
      <c r="W446" s="1187"/>
      <c r="X446" s="1187"/>
      <c r="Y446" s="1187"/>
      <c r="Z446" s="1187"/>
      <c r="AA446" s="1187"/>
      <c r="AB446" s="1187"/>
      <c r="AC446" s="1187"/>
      <c r="AD446" s="1187"/>
      <c r="AE446" s="1187"/>
      <c r="AF446" s="2534">
        <v>2</v>
      </c>
      <c r="AG446" s="2535" t="s">
        <v>1072</v>
      </c>
      <c r="AH446" s="2535" t="s">
        <v>1073</v>
      </c>
      <c r="AI446" s="2906">
        <v>1</v>
      </c>
      <c r="AJ446" s="2535" t="s">
        <v>1072</v>
      </c>
      <c r="AK446" s="2535" t="s">
        <v>1085</v>
      </c>
      <c r="AL446" s="1994"/>
      <c r="AM446" s="1831"/>
      <c r="AN446" s="1831"/>
      <c r="AO446" s="1831"/>
      <c r="AP446" s="1831"/>
      <c r="AQ446" s="1831"/>
      <c r="AR446" s="1831"/>
      <c r="AS446" s="1831"/>
      <c r="AT446" s="1831"/>
      <c r="AU446" s="1831"/>
      <c r="AV446" s="1831"/>
      <c r="AW446" s="1831"/>
      <c r="AX446" s="1831"/>
      <c r="AY446" s="1831"/>
      <c r="AZ446" s="1831"/>
      <c r="BA446" s="1831"/>
      <c r="BB446" s="1831"/>
      <c r="BC446" s="1831"/>
      <c r="BD446" s="1831"/>
      <c r="BE446" s="1831"/>
      <c r="BF446" s="1831"/>
      <c r="BG446" s="1644"/>
    </row>
    <row customHeight="1" ht="11.25">
      <c r="A447" s="1175" t="s">
        <v>1036</v>
      </c>
      <c r="B447" s="1175"/>
      <c r="C447" s="1175"/>
      <c r="D447" s="1169"/>
      <c r="E447" s="1179"/>
      <c r="F447" s="1837"/>
      <c r="G447" s="1838"/>
      <c r="H447" s="2543" t="s">
        <v>1262</v>
      </c>
      <c r="I447" s="2544"/>
      <c r="J447" s="2727"/>
      <c r="K447" s="2545"/>
      <c r="L447" s="2135"/>
      <c r="M447" s="2136"/>
      <c r="N447" s="2536"/>
      <c r="O447" s="2537">
        <v>1</v>
      </c>
      <c r="P447" s="2538" t="s">
        <v>63</v>
      </c>
      <c r="Q447" s="2725" t="s">
        <v>1256</v>
      </c>
      <c r="R447" s="2726" t="s">
        <v>1076</v>
      </c>
      <c r="S447" s="2726" t="s">
        <v>110</v>
      </c>
      <c r="T447" s="2726" t="s">
        <v>110</v>
      </c>
      <c r="U447" s="2726" t="s">
        <v>111</v>
      </c>
      <c r="V447" s="2726" t="s">
        <v>1257</v>
      </c>
      <c r="W447" s="2726" t="s">
        <v>1258</v>
      </c>
      <c r="X447" s="2726" t="s">
        <v>1259</v>
      </c>
      <c r="Y447" s="2726" t="s">
        <v>103</v>
      </c>
      <c r="Z447" s="1184"/>
      <c r="AA447" s="1185"/>
      <c r="AB447" s="1185"/>
      <c r="AC447" s="1189"/>
      <c r="AD447" s="1189"/>
      <c r="AE447" s="1190"/>
      <c r="AF447" s="2534"/>
      <c r="AG447" s="2535"/>
      <c r="AH447" s="2535"/>
      <c r="AI447" s="2906"/>
      <c r="AJ447" s="2535"/>
      <c r="AK447" s="2535"/>
      <c r="AL447" s="1994"/>
      <c r="AM447" s="1831"/>
      <c r="AN447" s="1831"/>
      <c r="AO447" s="1831"/>
      <c r="AP447" s="1831"/>
      <c r="AQ447" s="1831"/>
      <c r="AR447" s="1831"/>
      <c r="AS447" s="1831"/>
      <c r="AT447" s="1831"/>
      <c r="AU447" s="1831"/>
      <c r="AV447" s="1831"/>
      <c r="AW447" s="1831"/>
      <c r="AX447" s="1831"/>
      <c r="AY447" s="1831"/>
      <c r="AZ447" s="1831"/>
      <c r="BA447" s="1831"/>
      <c r="BB447" s="1831"/>
      <c r="BC447" s="1831"/>
      <c r="BD447" s="1831"/>
      <c r="BE447" s="1831"/>
      <c r="BF447" s="1831"/>
      <c r="BG447" s="1644"/>
    </row>
    <row customHeight="1" ht="11.25">
      <c r="A448" s="1175" t="s">
        <v>1036</v>
      </c>
      <c r="B448" s="1175"/>
      <c r="C448" s="1175"/>
      <c r="D448" s="1169"/>
      <c r="E448" s="1179"/>
      <c r="F448" s="1837"/>
      <c r="G448" s="1838"/>
      <c r="H448" s="2543" t="s">
        <v>1262</v>
      </c>
      <c r="I448" s="2544"/>
      <c r="J448" s="2727"/>
      <c r="K448" s="2545"/>
      <c r="L448" s="2135"/>
      <c r="M448" s="2136"/>
      <c r="N448" s="2536"/>
      <c r="O448" s="2537"/>
      <c r="P448" s="2539"/>
      <c r="Q448" s="2725"/>
      <c r="R448" s="2541"/>
      <c r="S448" s="2542"/>
      <c r="T448" s="2541"/>
      <c r="U448" s="2541"/>
      <c r="V448" s="2541"/>
      <c r="W448" s="2541"/>
      <c r="X448" s="2541"/>
      <c r="Y448" s="2541"/>
      <c r="Z448" s="1836"/>
      <c r="AA448" s="1802">
        <v>1</v>
      </c>
      <c r="AB448" s="1188" t="s">
        <v>1081</v>
      </c>
      <c r="AC448" s="1178">
        <v>1584.45</v>
      </c>
      <c r="AD448" s="1188" t="str">
        <f>AB448</f>
        <v>      Амортизационные отчисления с выделением результатов переоценки основных средств и нематериальных активов</v>
      </c>
      <c r="AE448" s="1178">
        <v>1584.45</v>
      </c>
      <c r="AF448" s="2534"/>
      <c r="AG448" s="2535"/>
      <c r="AH448" s="2535"/>
      <c r="AI448" s="2906"/>
      <c r="AJ448" s="2535"/>
      <c r="AK448" s="2535"/>
      <c r="AL448" s="1994"/>
      <c r="AM448" s="1831"/>
      <c r="AN448" s="1831"/>
      <c r="AO448" s="1831"/>
      <c r="AP448" s="1831"/>
      <c r="AQ448" s="1831"/>
      <c r="AR448" s="1831"/>
      <c r="AS448" s="1831"/>
      <c r="AT448" s="1831"/>
      <c r="AU448" s="1831"/>
      <c r="AV448" s="1831"/>
      <c r="AW448" s="1831"/>
      <c r="AX448" s="1831"/>
      <c r="AY448" s="1831"/>
      <c r="AZ448" s="1831"/>
      <c r="BA448" s="1831"/>
      <c r="BB448" s="1831"/>
      <c r="BC448" s="1831"/>
      <c r="BD448" s="1831"/>
      <c r="BE448" s="1831"/>
      <c r="BF448" s="1831"/>
      <c r="BG448" s="1644"/>
    </row>
    <row customHeight="1" ht="11.25">
      <c r="A449" s="1175" t="s">
        <v>1036</v>
      </c>
      <c r="B449" s="1175"/>
      <c r="C449" s="1175"/>
      <c r="D449" s="1169"/>
      <c r="E449" s="1179"/>
      <c r="F449" s="1838"/>
      <c r="G449" s="1838"/>
      <c r="H449" s="1838"/>
      <c r="I449" s="1838"/>
      <c r="J449" s="1838"/>
      <c r="K449" s="1838"/>
      <c r="L449" s="1838"/>
      <c r="M449" s="1838"/>
      <c r="N449" s="1838"/>
      <c r="O449" s="1838"/>
      <c r="P449" s="1838"/>
      <c r="Q449" s="1838"/>
      <c r="R449" s="1838"/>
      <c r="S449" s="1838"/>
      <c r="T449" s="1838"/>
      <c r="U449" s="1838"/>
      <c r="V449" s="1838"/>
      <c r="W449" s="1838"/>
      <c r="X449" s="1838"/>
      <c r="Y449" s="1838"/>
      <c r="Z449" s="692" t="s">
        <v>104</v>
      </c>
      <c r="AA449" s="1822" t="s">
        <v>103</v>
      </c>
      <c r="AB449" s="1188" t="s">
        <v>1091</v>
      </c>
      <c r="AC449" s="1178">
        <v>14260.01</v>
      </c>
      <c r="AD449" s="1188" t="str">
        <f>AB449</f>
        <v>  Прочие собственные средства</v>
      </c>
      <c r="AE449" s="1178">
        <v>10464.36</v>
      </c>
      <c r="AF449" s="2095"/>
      <c r="AG449" s="1767"/>
      <c r="AH449" s="1767"/>
      <c r="AI449" s="2908"/>
      <c r="AJ449" s="1767"/>
      <c r="AK449" s="1993"/>
      <c r="AL449" s="1994"/>
      <c r="AM449" s="1831"/>
      <c r="AN449" s="1831"/>
      <c r="AO449" s="1831"/>
      <c r="AP449" s="1831"/>
      <c r="AQ449" s="1831"/>
      <c r="AR449" s="1831"/>
      <c r="AS449" s="1831"/>
      <c r="AT449" s="1831"/>
      <c r="AU449" s="1831"/>
      <c r="AV449" s="1831"/>
      <c r="AW449" s="1831"/>
      <c r="AX449" s="1831"/>
      <c r="AY449" s="1831"/>
      <c r="AZ449" s="1831"/>
      <c r="BA449" s="1831"/>
      <c r="BB449" s="1831"/>
      <c r="BC449" s="1831"/>
      <c r="BD449" s="1831"/>
      <c r="BE449" s="1831"/>
      <c r="BF449" s="1831"/>
      <c r="BG449" s="1644"/>
    </row>
    <row customHeight="1" ht="11.25">
      <c r="A450" s="1175" t="s">
        <v>1036</v>
      </c>
      <c r="B450" s="1175"/>
      <c r="C450" s="1175"/>
      <c r="D450" s="1169"/>
      <c r="E450" s="1179"/>
      <c r="F450" s="1837"/>
      <c r="G450" s="1838"/>
      <c r="H450" s="2543" t="s">
        <v>1262</v>
      </c>
      <c r="I450" s="2544"/>
      <c r="J450" s="2727"/>
      <c r="K450" s="2545"/>
      <c r="L450" s="2135"/>
      <c r="M450" s="2136"/>
      <c r="N450" s="2536"/>
      <c r="O450" s="2537"/>
      <c r="P450" s="2540"/>
      <c r="Q450" s="2725"/>
      <c r="R450" s="2541"/>
      <c r="S450" s="2542"/>
      <c r="T450" s="2541"/>
      <c r="U450" s="2541"/>
      <c r="V450" s="2541"/>
      <c r="W450" s="2541"/>
      <c r="X450" s="2541"/>
      <c r="Y450" s="2541"/>
      <c r="Z450" s="1184"/>
      <c r="AA450" s="1185"/>
      <c r="AB450" s="1250" t="s">
        <v>1082</v>
      </c>
      <c r="AC450" s="1189"/>
      <c r="AD450" s="1189"/>
      <c r="AE450" s="1191"/>
      <c r="AF450" s="2534"/>
      <c r="AG450" s="2535"/>
      <c r="AH450" s="2535"/>
      <c r="AI450" s="2906"/>
      <c r="AJ450" s="2535"/>
      <c r="AK450" s="2535"/>
      <c r="AL450" s="1994"/>
      <c r="AM450" s="1831"/>
      <c r="AN450" s="1831"/>
      <c r="AO450" s="1831"/>
      <c r="AP450" s="1831"/>
      <c r="AQ450" s="1831"/>
      <c r="AR450" s="1831"/>
      <c r="AS450" s="1831"/>
      <c r="AT450" s="1831"/>
      <c r="AU450" s="1831"/>
      <c r="AV450" s="1831"/>
      <c r="AW450" s="1831"/>
      <c r="AX450" s="1831"/>
      <c r="AY450" s="1831"/>
      <c r="AZ450" s="1831"/>
      <c r="BA450" s="1831"/>
      <c r="BB450" s="1831"/>
      <c r="BC450" s="1831"/>
      <c r="BD450" s="1831"/>
      <c r="BE450" s="1831"/>
      <c r="BF450" s="1831"/>
      <c r="BG450" s="1644"/>
    </row>
    <row customHeight="1" ht="11.25">
      <c r="A451" s="1175" t="s">
        <v>1036</v>
      </c>
      <c r="B451" s="1175"/>
      <c r="C451" s="1175"/>
      <c r="D451" s="1169"/>
      <c r="E451" s="1179"/>
      <c r="F451" s="1837"/>
      <c r="G451" s="1838"/>
      <c r="H451" s="2543" t="s">
        <v>1262</v>
      </c>
      <c r="I451" s="2544"/>
      <c r="J451" s="2727"/>
      <c r="K451" s="2545"/>
      <c r="L451" s="2135"/>
      <c r="M451" s="2136"/>
      <c r="N451" s="1184"/>
      <c r="O451" s="1185"/>
      <c r="P451" s="1177" t="s">
        <v>1083</v>
      </c>
      <c r="Q451" s="1185"/>
      <c r="R451" s="1185"/>
      <c r="S451" s="1185"/>
      <c r="T451" s="1185"/>
      <c r="U451" s="1185"/>
      <c r="V451" s="1185"/>
      <c r="W451" s="1185"/>
      <c r="X451" s="1185"/>
      <c r="Y451" s="1185"/>
      <c r="Z451" s="1185"/>
      <c r="AA451" s="1185"/>
      <c r="AB451" s="1185"/>
      <c r="AC451" s="1185"/>
      <c r="AD451" s="1185"/>
      <c r="AE451" s="1192"/>
      <c r="AF451" s="2534"/>
      <c r="AG451" s="2535"/>
      <c r="AH451" s="2535"/>
      <c r="AI451" s="2906"/>
      <c r="AJ451" s="2535"/>
      <c r="AK451" s="2535"/>
      <c r="AL451" s="1994"/>
      <c r="AM451" s="1831"/>
      <c r="AN451" s="1831"/>
      <c r="AO451" s="1831"/>
      <c r="AP451" s="1831"/>
      <c r="AQ451" s="1831"/>
      <c r="AR451" s="1831"/>
      <c r="AS451" s="1831"/>
      <c r="AT451" s="1831"/>
      <c r="AU451" s="1831"/>
      <c r="AV451" s="1831"/>
      <c r="AW451" s="1831"/>
      <c r="AX451" s="1831"/>
      <c r="AY451" s="1831"/>
      <c r="AZ451" s="1831"/>
      <c r="BA451" s="1831"/>
      <c r="BB451" s="1831"/>
      <c r="BC451" s="1831"/>
      <c r="BD451" s="1831"/>
      <c r="BE451" s="1831"/>
      <c r="BF451" s="1831"/>
      <c r="BG451" s="1644"/>
    </row>
    <row customHeight="1" ht="11.25">
      <c r="A452" s="1175" t="s">
        <v>1036</v>
      </c>
      <c r="B452" s="1175" t="s">
        <v>22</v>
      </c>
      <c r="C452" s="1175"/>
      <c r="D452" s="1169"/>
      <c r="E452" s="1179"/>
      <c r="F452" s="1837"/>
      <c r="G452" s="692" t="s">
        <v>104</v>
      </c>
      <c r="H452" s="2543" t="s">
        <v>1266</v>
      </c>
      <c r="I452" s="2544" t="s">
        <v>1147</v>
      </c>
      <c r="J452" s="2727" t="s">
        <v>22</v>
      </c>
      <c r="K452" s="2545" t="s">
        <v>1267</v>
      </c>
      <c r="L452" s="2135" t="s">
        <v>19</v>
      </c>
      <c r="M452" s="2136"/>
      <c r="N452" s="1992"/>
      <c r="O452" s="1186" t="s">
        <v>391</v>
      </c>
      <c r="P452" s="1187"/>
      <c r="Q452" s="1187"/>
      <c r="R452" s="1187"/>
      <c r="S452" s="1187"/>
      <c r="T452" s="1187"/>
      <c r="U452" s="1187"/>
      <c r="V452" s="1187"/>
      <c r="W452" s="1187"/>
      <c r="X452" s="1187"/>
      <c r="Y452" s="1187"/>
      <c r="Z452" s="1187"/>
      <c r="AA452" s="1187"/>
      <c r="AB452" s="1187"/>
      <c r="AC452" s="1187"/>
      <c r="AD452" s="1187"/>
      <c r="AE452" s="1187"/>
      <c r="AF452" s="2534">
        <v>3</v>
      </c>
      <c r="AG452" s="2535" t="s">
        <v>1072</v>
      </c>
      <c r="AH452" s="2535" t="s">
        <v>1105</v>
      </c>
      <c r="AI452" s="2724"/>
      <c r="AJ452" s="2535" t="s">
        <v>1074</v>
      </c>
      <c r="AK452" s="2535" t="s">
        <v>1074</v>
      </c>
      <c r="AL452" s="1994"/>
      <c r="AM452" s="1831"/>
      <c r="AN452" s="1831"/>
      <c r="AO452" s="1831"/>
      <c r="AP452" s="1831"/>
      <c r="AQ452" s="1831"/>
      <c r="AR452" s="1831"/>
      <c r="AS452" s="1831"/>
      <c r="AT452" s="1831"/>
      <c r="AU452" s="1831"/>
      <c r="AV452" s="1831"/>
      <c r="AW452" s="1831"/>
      <c r="AX452" s="1831"/>
      <c r="AY452" s="1831"/>
      <c r="AZ452" s="1831"/>
      <c r="BA452" s="1831"/>
      <c r="BB452" s="1831"/>
      <c r="BC452" s="1831"/>
      <c r="BD452" s="1831"/>
      <c r="BE452" s="1831"/>
      <c r="BF452" s="1831"/>
      <c r="BG452" s="1644"/>
    </row>
    <row customHeight="1" ht="11.25">
      <c r="A453" s="1175" t="s">
        <v>1036</v>
      </c>
      <c r="B453" s="1175"/>
      <c r="C453" s="1175"/>
      <c r="D453" s="1169"/>
      <c r="E453" s="1179"/>
      <c r="F453" s="1837"/>
      <c r="G453" s="1838"/>
      <c r="H453" s="2543" t="s">
        <v>1264</v>
      </c>
      <c r="I453" s="2544"/>
      <c r="J453" s="2727"/>
      <c r="K453" s="2545"/>
      <c r="L453" s="2135"/>
      <c r="M453" s="2136"/>
      <c r="N453" s="2536"/>
      <c r="O453" s="2537">
        <v>1</v>
      </c>
      <c r="P453" s="2538" t="s">
        <v>63</v>
      </c>
      <c r="Q453" s="2725" t="s">
        <v>1256</v>
      </c>
      <c r="R453" s="2726" t="s">
        <v>1076</v>
      </c>
      <c r="S453" s="2726" t="s">
        <v>110</v>
      </c>
      <c r="T453" s="2726" t="s">
        <v>110</v>
      </c>
      <c r="U453" s="2726" t="s">
        <v>111</v>
      </c>
      <c r="V453" s="2726" t="s">
        <v>1257</v>
      </c>
      <c r="W453" s="2726" t="s">
        <v>1258</v>
      </c>
      <c r="X453" s="2726" t="s">
        <v>1259</v>
      </c>
      <c r="Y453" s="2726" t="s">
        <v>103</v>
      </c>
      <c r="Z453" s="1184"/>
      <c r="AA453" s="1185"/>
      <c r="AB453" s="1185"/>
      <c r="AC453" s="1189"/>
      <c r="AD453" s="1189"/>
      <c r="AE453" s="1190"/>
      <c r="AF453" s="2534"/>
      <c r="AG453" s="2535"/>
      <c r="AH453" s="2535"/>
      <c r="AI453" s="2724"/>
      <c r="AJ453" s="2535"/>
      <c r="AK453" s="2535"/>
      <c r="AL453" s="1994"/>
      <c r="AM453" s="1831"/>
      <c r="AN453" s="1831"/>
      <c r="AO453" s="1831"/>
      <c r="AP453" s="1831"/>
      <c r="AQ453" s="1831"/>
      <c r="AR453" s="1831"/>
      <c r="AS453" s="1831"/>
      <c r="AT453" s="1831"/>
      <c r="AU453" s="1831"/>
      <c r="AV453" s="1831"/>
      <c r="AW453" s="1831"/>
      <c r="AX453" s="1831"/>
      <c r="AY453" s="1831"/>
      <c r="AZ453" s="1831"/>
      <c r="BA453" s="1831"/>
      <c r="BB453" s="1831"/>
      <c r="BC453" s="1831"/>
      <c r="BD453" s="1831"/>
      <c r="BE453" s="1831"/>
      <c r="BF453" s="1831"/>
      <c r="BG453" s="1644"/>
    </row>
    <row customHeight="1" ht="11.25">
      <c r="A454" s="1175" t="s">
        <v>1036</v>
      </c>
      <c r="B454" s="1175"/>
      <c r="C454" s="1175"/>
      <c r="D454" s="1169"/>
      <c r="E454" s="1179"/>
      <c r="F454" s="1837"/>
      <c r="G454" s="1838"/>
      <c r="H454" s="2543" t="s">
        <v>1264</v>
      </c>
      <c r="I454" s="2544"/>
      <c r="J454" s="2727"/>
      <c r="K454" s="2545"/>
      <c r="L454" s="2135"/>
      <c r="M454" s="2136"/>
      <c r="N454" s="2536"/>
      <c r="O454" s="2537"/>
      <c r="P454" s="2539"/>
      <c r="Q454" s="2725"/>
      <c r="R454" s="2541"/>
      <c r="S454" s="2542"/>
      <c r="T454" s="2541"/>
      <c r="U454" s="2541"/>
      <c r="V454" s="2541"/>
      <c r="W454" s="2541"/>
      <c r="X454" s="2541"/>
      <c r="Y454" s="2541"/>
      <c r="Z454" s="1836"/>
      <c r="AA454" s="1802">
        <v>1</v>
      </c>
      <c r="AB454" s="1188" t="s">
        <v>1081</v>
      </c>
      <c r="AC454" s="1178">
        <v>8816.21</v>
      </c>
      <c r="AD454" s="1188" t="str">
        <f>AB454</f>
        <v>      Амортизационные отчисления с выделением результатов переоценки основных средств и нематериальных активов</v>
      </c>
      <c r="AE454" s="1178">
        <v>32406.69</v>
      </c>
      <c r="AF454" s="2534"/>
      <c r="AG454" s="2535"/>
      <c r="AH454" s="2535"/>
      <c r="AI454" s="2724"/>
      <c r="AJ454" s="2535"/>
      <c r="AK454" s="2535"/>
      <c r="AL454" s="1994"/>
      <c r="AM454" s="1831"/>
      <c r="AN454" s="1831"/>
      <c r="AO454" s="1831"/>
      <c r="AP454" s="1831"/>
      <c r="AQ454" s="1831"/>
      <c r="AR454" s="1831"/>
      <c r="AS454" s="1831"/>
      <c r="AT454" s="1831"/>
      <c r="AU454" s="1831"/>
      <c r="AV454" s="1831"/>
      <c r="AW454" s="1831"/>
      <c r="AX454" s="1831"/>
      <c r="AY454" s="1831"/>
      <c r="AZ454" s="1831"/>
      <c r="BA454" s="1831"/>
      <c r="BB454" s="1831"/>
      <c r="BC454" s="1831"/>
      <c r="BD454" s="1831"/>
      <c r="BE454" s="1831"/>
      <c r="BF454" s="1831"/>
      <c r="BG454" s="1644"/>
    </row>
    <row customHeight="1" ht="11.25">
      <c r="A455" s="1175" t="s">
        <v>1036</v>
      </c>
      <c r="B455" s="1175"/>
      <c r="C455" s="1175"/>
      <c r="D455" s="1169"/>
      <c r="E455" s="1179"/>
      <c r="F455" s="1838"/>
      <c r="G455" s="1838"/>
      <c r="H455" s="1838"/>
      <c r="I455" s="1838"/>
      <c r="J455" s="1838"/>
      <c r="K455" s="1838"/>
      <c r="L455" s="1838"/>
      <c r="M455" s="1838"/>
      <c r="N455" s="1838"/>
      <c r="O455" s="1838"/>
      <c r="P455" s="1838"/>
      <c r="Q455" s="1838"/>
      <c r="R455" s="1838"/>
      <c r="S455" s="1838"/>
      <c r="T455" s="1838"/>
      <c r="U455" s="1838"/>
      <c r="V455" s="1838"/>
      <c r="W455" s="1838"/>
      <c r="X455" s="1838"/>
      <c r="Y455" s="1838"/>
      <c r="Z455" s="692" t="s">
        <v>104</v>
      </c>
      <c r="AA455" s="1822" t="s">
        <v>103</v>
      </c>
      <c r="AB455" s="1188" t="s">
        <v>1091</v>
      </c>
      <c r="AC455" s="1178">
        <v>79345.9</v>
      </c>
      <c r="AD455" s="1188" t="str">
        <f>AB455</f>
        <v>  Прочие собственные средства</v>
      </c>
      <c r="AE455" s="1178">
        <v>41674.16</v>
      </c>
      <c r="AF455" s="2095"/>
      <c r="AG455" s="1767"/>
      <c r="AH455" s="1767"/>
      <c r="AI455" s="2728"/>
      <c r="AJ455" s="1767"/>
      <c r="AK455" s="1993"/>
      <c r="AL455" s="1994"/>
      <c r="AM455" s="1831"/>
      <c r="AN455" s="1831"/>
      <c r="AO455" s="1831"/>
      <c r="AP455" s="1831"/>
      <c r="AQ455" s="1831"/>
      <c r="AR455" s="1831"/>
      <c r="AS455" s="1831"/>
      <c r="AT455" s="1831"/>
      <c r="AU455" s="1831"/>
      <c r="AV455" s="1831"/>
      <c r="AW455" s="1831"/>
      <c r="AX455" s="1831"/>
      <c r="AY455" s="1831"/>
      <c r="AZ455" s="1831"/>
      <c r="BA455" s="1831"/>
      <c r="BB455" s="1831"/>
      <c r="BC455" s="1831"/>
      <c r="BD455" s="1831"/>
      <c r="BE455" s="1831"/>
      <c r="BF455" s="1831"/>
      <c r="BG455" s="1644"/>
    </row>
    <row customHeight="1" ht="11.25">
      <c r="A456" s="1175" t="s">
        <v>1036</v>
      </c>
      <c r="B456" s="1175"/>
      <c r="C456" s="1175"/>
      <c r="D456" s="1169"/>
      <c r="E456" s="1179"/>
      <c r="F456" s="1837"/>
      <c r="G456" s="1838"/>
      <c r="H456" s="2543" t="s">
        <v>1264</v>
      </c>
      <c r="I456" s="2544"/>
      <c r="J456" s="2727"/>
      <c r="K456" s="2545"/>
      <c r="L456" s="2135"/>
      <c r="M456" s="2136"/>
      <c r="N456" s="2536"/>
      <c r="O456" s="2537"/>
      <c r="P456" s="2540"/>
      <c r="Q456" s="2725"/>
      <c r="R456" s="2541"/>
      <c r="S456" s="2542"/>
      <c r="T456" s="2541"/>
      <c r="U456" s="2541"/>
      <c r="V456" s="2541"/>
      <c r="W456" s="2541"/>
      <c r="X456" s="2541"/>
      <c r="Y456" s="2541"/>
      <c r="Z456" s="1184"/>
      <c r="AA456" s="1185"/>
      <c r="AB456" s="1250" t="s">
        <v>1082</v>
      </c>
      <c r="AC456" s="1189"/>
      <c r="AD456" s="1189"/>
      <c r="AE456" s="1191"/>
      <c r="AF456" s="2534"/>
      <c r="AG456" s="2535"/>
      <c r="AH456" s="2535"/>
      <c r="AI456" s="2724"/>
      <c r="AJ456" s="2535"/>
      <c r="AK456" s="2535"/>
      <c r="AL456" s="1994"/>
      <c r="AM456" s="1831"/>
      <c r="AN456" s="1831"/>
      <c r="AO456" s="1831"/>
      <c r="AP456" s="1831"/>
      <c r="AQ456" s="1831"/>
      <c r="AR456" s="1831"/>
      <c r="AS456" s="1831"/>
      <c r="AT456" s="1831"/>
      <c r="AU456" s="1831"/>
      <c r="AV456" s="1831"/>
      <c r="AW456" s="1831"/>
      <c r="AX456" s="1831"/>
      <c r="AY456" s="1831"/>
      <c r="AZ456" s="1831"/>
      <c r="BA456" s="1831"/>
      <c r="BB456" s="1831"/>
      <c r="BC456" s="1831"/>
      <c r="BD456" s="1831"/>
      <c r="BE456" s="1831"/>
      <c r="BF456" s="1831"/>
      <c r="BG456" s="1644"/>
    </row>
    <row customHeight="1" ht="11.25">
      <c r="A457" s="1175" t="s">
        <v>1036</v>
      </c>
      <c r="B457" s="1175"/>
      <c r="C457" s="1175"/>
      <c r="D457" s="1169"/>
      <c r="E457" s="1179"/>
      <c r="F457" s="1837"/>
      <c r="G457" s="1838"/>
      <c r="H457" s="2543" t="s">
        <v>1264</v>
      </c>
      <c r="I457" s="2544"/>
      <c r="J457" s="2727"/>
      <c r="K457" s="2545"/>
      <c r="L457" s="2135"/>
      <c r="M457" s="2136"/>
      <c r="N457" s="1184"/>
      <c r="O457" s="1185"/>
      <c r="P457" s="1177" t="s">
        <v>1083</v>
      </c>
      <c r="Q457" s="1185"/>
      <c r="R457" s="1185"/>
      <c r="S457" s="1185"/>
      <c r="T457" s="1185"/>
      <c r="U457" s="1185"/>
      <c r="V457" s="1185"/>
      <c r="W457" s="1185"/>
      <c r="X457" s="1185"/>
      <c r="Y457" s="1185"/>
      <c r="Z457" s="1185"/>
      <c r="AA457" s="1185"/>
      <c r="AB457" s="1185"/>
      <c r="AC457" s="1185"/>
      <c r="AD457" s="1185"/>
      <c r="AE457" s="1192"/>
      <c r="AF457" s="2534"/>
      <c r="AG457" s="2535"/>
      <c r="AH457" s="2535"/>
      <c r="AI457" s="2724"/>
      <c r="AJ457" s="2535"/>
      <c r="AK457" s="2535"/>
      <c r="AL457" s="1994"/>
      <c r="AM457" s="1831"/>
      <c r="AN457" s="1831"/>
      <c r="AO457" s="1831"/>
      <c r="AP457" s="1831"/>
      <c r="AQ457" s="1831"/>
      <c r="AR457" s="1831"/>
      <c r="AS457" s="1831"/>
      <c r="AT457" s="1831"/>
      <c r="AU457" s="1831"/>
      <c r="AV457" s="1831"/>
      <c r="AW457" s="1831"/>
      <c r="AX457" s="1831"/>
      <c r="AY457" s="1831"/>
      <c r="AZ457" s="1831"/>
      <c r="BA457" s="1831"/>
      <c r="BB457" s="1831"/>
      <c r="BC457" s="1831"/>
      <c r="BD457" s="1831"/>
      <c r="BE457" s="1831"/>
      <c r="BF457" s="1831"/>
      <c r="BG457" s="1644"/>
    </row>
    <row customHeight="1" ht="11.25">
      <c r="A458" s="1175" t="s">
        <v>1036</v>
      </c>
      <c r="B458" s="1175" t="s">
        <v>22</v>
      </c>
      <c r="C458" s="1175"/>
      <c r="D458" s="1169"/>
      <c r="E458" s="1179"/>
      <c r="F458" s="1837"/>
      <c r="G458" s="692" t="s">
        <v>104</v>
      </c>
      <c r="H458" s="2543" t="s">
        <v>1268</v>
      </c>
      <c r="I458" s="2544" t="s">
        <v>1147</v>
      </c>
      <c r="J458" s="2727" t="s">
        <v>22</v>
      </c>
      <c r="K458" s="2545" t="s">
        <v>1269</v>
      </c>
      <c r="L458" s="2135" t="s">
        <v>19</v>
      </c>
      <c r="M458" s="2136"/>
      <c r="N458" s="1992"/>
      <c r="O458" s="1186" t="s">
        <v>391</v>
      </c>
      <c r="P458" s="1187"/>
      <c r="Q458" s="1187"/>
      <c r="R458" s="1187"/>
      <c r="S458" s="1187"/>
      <c r="T458" s="1187"/>
      <c r="U458" s="1187"/>
      <c r="V458" s="1187"/>
      <c r="W458" s="1187"/>
      <c r="X458" s="1187"/>
      <c r="Y458" s="1187"/>
      <c r="Z458" s="1187"/>
      <c r="AA458" s="1187"/>
      <c r="AB458" s="1187"/>
      <c r="AC458" s="1187"/>
      <c r="AD458" s="1187"/>
      <c r="AE458" s="1187"/>
      <c r="AF458" s="2534">
        <v>1</v>
      </c>
      <c r="AG458" s="2535" t="s">
        <v>1072</v>
      </c>
      <c r="AH458" s="2535" t="s">
        <v>1085</v>
      </c>
      <c r="AI458" s="2534">
        <v>1</v>
      </c>
      <c r="AJ458" s="2535" t="s">
        <v>1072</v>
      </c>
      <c r="AK458" s="2535" t="s">
        <v>1085</v>
      </c>
      <c r="AL458" s="1994"/>
      <c r="AM458" s="1831"/>
      <c r="AN458" s="1831"/>
      <c r="AO458" s="1831"/>
      <c r="AP458" s="1831"/>
      <c r="AQ458" s="1831"/>
      <c r="AR458" s="1831"/>
      <c r="AS458" s="1831"/>
      <c r="AT458" s="1831"/>
      <c r="AU458" s="1831"/>
      <c r="AV458" s="1831"/>
      <c r="AW458" s="1831"/>
      <c r="AX458" s="1831"/>
      <c r="AY458" s="1831"/>
      <c r="AZ458" s="1831"/>
      <c r="BA458" s="1831"/>
      <c r="BB458" s="1831"/>
      <c r="BC458" s="1831"/>
      <c r="BD458" s="1831"/>
      <c r="BE458" s="1831"/>
      <c r="BF458" s="1831"/>
      <c r="BG458" s="1644"/>
    </row>
    <row customHeight="1" ht="11.25">
      <c r="A459" s="1175" t="s">
        <v>1036</v>
      </c>
      <c r="B459" s="1175"/>
      <c r="C459" s="1175"/>
      <c r="D459" s="1169"/>
      <c r="E459" s="1179"/>
      <c r="F459" s="1837"/>
      <c r="G459" s="1838"/>
      <c r="H459" s="2543" t="s">
        <v>1266</v>
      </c>
      <c r="I459" s="2544"/>
      <c r="J459" s="2727"/>
      <c r="K459" s="2545"/>
      <c r="L459" s="2135"/>
      <c r="M459" s="2136"/>
      <c r="N459" s="2536"/>
      <c r="O459" s="2537">
        <v>1</v>
      </c>
      <c r="P459" s="2538" t="s">
        <v>63</v>
      </c>
      <c r="Q459" s="2725" t="s">
        <v>1256</v>
      </c>
      <c r="R459" s="2726" t="s">
        <v>1076</v>
      </c>
      <c r="S459" s="2726" t="s">
        <v>110</v>
      </c>
      <c r="T459" s="2726" t="s">
        <v>110</v>
      </c>
      <c r="U459" s="2726" t="s">
        <v>111</v>
      </c>
      <c r="V459" s="2726" t="s">
        <v>1257</v>
      </c>
      <c r="W459" s="2726" t="s">
        <v>1258</v>
      </c>
      <c r="X459" s="2726" t="s">
        <v>1259</v>
      </c>
      <c r="Y459" s="2726" t="s">
        <v>103</v>
      </c>
      <c r="Z459" s="1184"/>
      <c r="AA459" s="1185"/>
      <c r="AB459" s="1185"/>
      <c r="AC459" s="1189"/>
      <c r="AD459" s="1189"/>
      <c r="AE459" s="1190"/>
      <c r="AF459" s="2534"/>
      <c r="AG459" s="2535"/>
      <c r="AH459" s="2535"/>
      <c r="AI459" s="2534"/>
      <c r="AJ459" s="2535"/>
      <c r="AK459" s="2535"/>
      <c r="AL459" s="1994"/>
      <c r="AM459" s="1831"/>
      <c r="AN459" s="1831"/>
      <c r="AO459" s="1831"/>
      <c r="AP459" s="1831"/>
      <c r="AQ459" s="1831"/>
      <c r="AR459" s="1831"/>
      <c r="AS459" s="1831"/>
      <c r="AT459" s="1831"/>
      <c r="AU459" s="1831"/>
      <c r="AV459" s="1831"/>
      <c r="AW459" s="1831"/>
      <c r="AX459" s="1831"/>
      <c r="AY459" s="1831"/>
      <c r="AZ459" s="1831"/>
      <c r="BA459" s="1831"/>
      <c r="BB459" s="1831"/>
      <c r="BC459" s="1831"/>
      <c r="BD459" s="1831"/>
      <c r="BE459" s="1831"/>
      <c r="BF459" s="1831"/>
      <c r="BG459" s="1644"/>
    </row>
    <row customHeight="1" ht="11.25">
      <c r="A460" s="1175" t="s">
        <v>1036</v>
      </c>
      <c r="B460" s="1175"/>
      <c r="C460" s="1175"/>
      <c r="D460" s="1169"/>
      <c r="E460" s="1179"/>
      <c r="F460" s="1837"/>
      <c r="G460" s="1838"/>
      <c r="H460" s="2543" t="s">
        <v>1266</v>
      </c>
      <c r="I460" s="2544"/>
      <c r="J460" s="2727"/>
      <c r="K460" s="2545"/>
      <c r="L460" s="2135"/>
      <c r="M460" s="2136"/>
      <c r="N460" s="2536"/>
      <c r="O460" s="2537"/>
      <c r="P460" s="2539"/>
      <c r="Q460" s="2725"/>
      <c r="R460" s="2541"/>
      <c r="S460" s="2542"/>
      <c r="T460" s="2541"/>
      <c r="U460" s="2541"/>
      <c r="V460" s="2541"/>
      <c r="W460" s="2541"/>
      <c r="X460" s="2541"/>
      <c r="Y460" s="2541"/>
      <c r="Z460" s="1836"/>
      <c r="AA460" s="1802">
        <v>1</v>
      </c>
      <c r="AB460" s="1188" t="s">
        <v>1270</v>
      </c>
      <c r="AC460" s="1178">
        <v>5575.6</v>
      </c>
      <c r="AD460" s="1188" t="str">
        <f>AB460</f>
        <v>      Прочие займы</v>
      </c>
      <c r="AE460" s="1178">
        <v>5575.6</v>
      </c>
      <c r="AF460" s="2534"/>
      <c r="AG460" s="2535"/>
      <c r="AH460" s="2535"/>
      <c r="AI460" s="2534"/>
      <c r="AJ460" s="2535"/>
      <c r="AK460" s="2535"/>
      <c r="AL460" s="1994"/>
      <c r="AM460" s="1831"/>
      <c r="AN460" s="1831"/>
      <c r="AO460" s="1831"/>
      <c r="AP460" s="1831"/>
      <c r="AQ460" s="1831"/>
      <c r="AR460" s="1831"/>
      <c r="AS460" s="1831"/>
      <c r="AT460" s="1831"/>
      <c r="AU460" s="1831"/>
      <c r="AV460" s="1831"/>
      <c r="AW460" s="1831"/>
      <c r="AX460" s="1831"/>
      <c r="AY460" s="1831"/>
      <c r="AZ460" s="1831"/>
      <c r="BA460" s="1831"/>
      <c r="BB460" s="1831"/>
      <c r="BC460" s="1831"/>
      <c r="BD460" s="1831"/>
      <c r="BE460" s="1831"/>
      <c r="BF460" s="1831"/>
      <c r="BG460" s="1644"/>
    </row>
    <row customHeight="1" ht="11.25">
      <c r="A461" s="1175" t="s">
        <v>1036</v>
      </c>
      <c r="B461" s="1175"/>
      <c r="C461" s="1175"/>
      <c r="D461" s="1169"/>
      <c r="E461" s="1179"/>
      <c r="F461" s="1838"/>
      <c r="G461" s="1838"/>
      <c r="H461" s="1838"/>
      <c r="I461" s="1838"/>
      <c r="J461" s="1838"/>
      <c r="K461" s="1838"/>
      <c r="L461" s="1838"/>
      <c r="M461" s="1838"/>
      <c r="N461" s="1838"/>
      <c r="O461" s="1838"/>
      <c r="P461" s="1838"/>
      <c r="Q461" s="1838"/>
      <c r="R461" s="1838"/>
      <c r="S461" s="1838"/>
      <c r="T461" s="1838"/>
      <c r="U461" s="1838"/>
      <c r="V461" s="1838"/>
      <c r="W461" s="1838"/>
      <c r="X461" s="1838"/>
      <c r="Y461" s="1838"/>
      <c r="Z461" s="692" t="s">
        <v>104</v>
      </c>
      <c r="AA461" s="1822" t="s">
        <v>103</v>
      </c>
      <c r="AB461" s="1188" t="s">
        <v>1125</v>
      </c>
      <c r="AC461" s="1178">
        <v>0</v>
      </c>
      <c r="AD461" s="1188" t="str">
        <f>AB461</f>
        <v>  Прочие</v>
      </c>
      <c r="AE461" s="1178">
        <v>197.65</v>
      </c>
      <c r="AF461" s="2095"/>
      <c r="AG461" s="1767"/>
      <c r="AH461" s="1767"/>
      <c r="AI461" s="2095"/>
      <c r="AJ461" s="1767"/>
      <c r="AK461" s="1993"/>
      <c r="AL461" s="1994"/>
      <c r="AM461" s="1831"/>
      <c r="AN461" s="1831"/>
      <c r="AO461" s="1831"/>
      <c r="AP461" s="1831"/>
      <c r="AQ461" s="1831"/>
      <c r="AR461" s="1831"/>
      <c r="AS461" s="1831"/>
      <c r="AT461" s="1831"/>
      <c r="AU461" s="1831"/>
      <c r="AV461" s="1831"/>
      <c r="AW461" s="1831"/>
      <c r="AX461" s="1831"/>
      <c r="AY461" s="1831"/>
      <c r="AZ461" s="1831"/>
      <c r="BA461" s="1831"/>
      <c r="BB461" s="1831"/>
      <c r="BC461" s="1831"/>
      <c r="BD461" s="1831"/>
      <c r="BE461" s="1831"/>
      <c r="BF461" s="1831"/>
      <c r="BG461" s="1644"/>
    </row>
    <row customHeight="1" ht="11.25">
      <c r="A462" s="1175" t="s">
        <v>1036</v>
      </c>
      <c r="B462" s="1175"/>
      <c r="C462" s="1175"/>
      <c r="D462" s="1169"/>
      <c r="E462" s="1179"/>
      <c r="F462" s="1837"/>
      <c r="G462" s="1838"/>
      <c r="H462" s="2543" t="s">
        <v>1266</v>
      </c>
      <c r="I462" s="2544"/>
      <c r="J462" s="2727"/>
      <c r="K462" s="2545"/>
      <c r="L462" s="2135"/>
      <c r="M462" s="2136"/>
      <c r="N462" s="2536"/>
      <c r="O462" s="2537"/>
      <c r="P462" s="2540"/>
      <c r="Q462" s="2725"/>
      <c r="R462" s="2541"/>
      <c r="S462" s="2542"/>
      <c r="T462" s="2541"/>
      <c r="U462" s="2541"/>
      <c r="V462" s="2541"/>
      <c r="W462" s="2541"/>
      <c r="X462" s="2541"/>
      <c r="Y462" s="2541"/>
      <c r="Z462" s="1184"/>
      <c r="AA462" s="1185"/>
      <c r="AB462" s="1250" t="s">
        <v>1082</v>
      </c>
      <c r="AC462" s="1189"/>
      <c r="AD462" s="1189"/>
      <c r="AE462" s="1191"/>
      <c r="AF462" s="2534"/>
      <c r="AG462" s="2535"/>
      <c r="AH462" s="2535"/>
      <c r="AI462" s="2534"/>
      <c r="AJ462" s="2535"/>
      <c r="AK462" s="2535"/>
      <c r="AL462" s="1994"/>
      <c r="AM462" s="1831"/>
      <c r="AN462" s="1831"/>
      <c r="AO462" s="1831"/>
      <c r="AP462" s="1831"/>
      <c r="AQ462" s="1831"/>
      <c r="AR462" s="1831"/>
      <c r="AS462" s="1831"/>
      <c r="AT462" s="1831"/>
      <c r="AU462" s="1831"/>
      <c r="AV462" s="1831"/>
      <c r="AW462" s="1831"/>
      <c r="AX462" s="1831"/>
      <c r="AY462" s="1831"/>
      <c r="AZ462" s="1831"/>
      <c r="BA462" s="1831"/>
      <c r="BB462" s="1831"/>
      <c r="BC462" s="1831"/>
      <c r="BD462" s="1831"/>
      <c r="BE462" s="1831"/>
      <c r="BF462" s="1831"/>
      <c r="BG462" s="1644"/>
    </row>
    <row customHeight="1" ht="11.25">
      <c r="A463" s="1175" t="s">
        <v>1036</v>
      </c>
      <c r="B463" s="1175"/>
      <c r="C463" s="1175"/>
      <c r="D463" s="1169"/>
      <c r="E463" s="1179"/>
      <c r="F463" s="1837"/>
      <c r="G463" s="1838"/>
      <c r="H463" s="2543" t="s">
        <v>1266</v>
      </c>
      <c r="I463" s="2544"/>
      <c r="J463" s="2727"/>
      <c r="K463" s="2545"/>
      <c r="L463" s="2135"/>
      <c r="M463" s="2136"/>
      <c r="N463" s="1184"/>
      <c r="O463" s="1185"/>
      <c r="P463" s="1177" t="s">
        <v>1083</v>
      </c>
      <c r="Q463" s="1185"/>
      <c r="R463" s="1185"/>
      <c r="S463" s="1185"/>
      <c r="T463" s="1185"/>
      <c r="U463" s="1185"/>
      <c r="V463" s="1185"/>
      <c r="W463" s="1185"/>
      <c r="X463" s="1185"/>
      <c r="Y463" s="1185"/>
      <c r="Z463" s="1185"/>
      <c r="AA463" s="1185"/>
      <c r="AB463" s="1185"/>
      <c r="AC463" s="1185"/>
      <c r="AD463" s="1185"/>
      <c r="AE463" s="1192"/>
      <c r="AF463" s="2534"/>
      <c r="AG463" s="2535"/>
      <c r="AH463" s="2535"/>
      <c r="AI463" s="2534"/>
      <c r="AJ463" s="2535"/>
      <c r="AK463" s="2535"/>
      <c r="AL463" s="1994"/>
      <c r="AM463" s="1831"/>
      <c r="AN463" s="1831"/>
      <c r="AO463" s="1831"/>
      <c r="AP463" s="1831"/>
      <c r="AQ463" s="1831"/>
      <c r="AR463" s="1831"/>
      <c r="AS463" s="1831"/>
      <c r="AT463" s="1831"/>
      <c r="AU463" s="1831"/>
      <c r="AV463" s="1831"/>
      <c r="AW463" s="1831"/>
      <c r="AX463" s="1831"/>
      <c r="AY463" s="1831"/>
      <c r="AZ463" s="1831"/>
      <c r="BA463" s="1831"/>
      <c r="BB463" s="1831"/>
      <c r="BC463" s="1831"/>
      <c r="BD463" s="1831"/>
      <c r="BE463" s="1831"/>
      <c r="BF463" s="1831"/>
      <c r="BG463" s="1644"/>
    </row>
    <row customHeight="1" ht="11.25">
      <c r="A464" s="1175" t="s">
        <v>1036</v>
      </c>
      <c r="B464" s="1175" t="s">
        <v>22</v>
      </c>
      <c r="C464" s="1175"/>
      <c r="D464" s="1169"/>
      <c r="E464" s="1179"/>
      <c r="F464" s="1837"/>
      <c r="G464" s="692" t="s">
        <v>104</v>
      </c>
      <c r="H464" s="2543" t="s">
        <v>1271</v>
      </c>
      <c r="I464" s="2544" t="s">
        <v>1147</v>
      </c>
      <c r="J464" s="2727" t="s">
        <v>22</v>
      </c>
      <c r="K464" s="2545" t="s">
        <v>1272</v>
      </c>
      <c r="L464" s="2135" t="s">
        <v>19</v>
      </c>
      <c r="M464" s="2136"/>
      <c r="N464" s="1992"/>
      <c r="O464" s="1186" t="s">
        <v>391</v>
      </c>
      <c r="P464" s="1187"/>
      <c r="Q464" s="1187"/>
      <c r="R464" s="1187"/>
      <c r="S464" s="1187"/>
      <c r="T464" s="1187"/>
      <c r="U464" s="1187"/>
      <c r="V464" s="1187"/>
      <c r="W464" s="1187"/>
      <c r="X464" s="1187"/>
      <c r="Y464" s="1187"/>
      <c r="Z464" s="1187"/>
      <c r="AA464" s="1187"/>
      <c r="AB464" s="1187"/>
      <c r="AC464" s="1187"/>
      <c r="AD464" s="1187"/>
      <c r="AE464" s="1187"/>
      <c r="AF464" s="2534">
        <v>5</v>
      </c>
      <c r="AG464" s="2535" t="s">
        <v>1072</v>
      </c>
      <c r="AH464" s="2535" t="s">
        <v>1158</v>
      </c>
      <c r="AI464" s="2906">
        <v>1</v>
      </c>
      <c r="AJ464" s="2535" t="s">
        <v>1094</v>
      </c>
      <c r="AK464" s="2535" t="s">
        <v>1085</v>
      </c>
      <c r="AL464" s="1994"/>
      <c r="AM464" s="1831"/>
      <c r="AN464" s="1831"/>
      <c r="AO464" s="1831"/>
      <c r="AP464" s="1831"/>
      <c r="AQ464" s="1831"/>
      <c r="AR464" s="1831"/>
      <c r="AS464" s="1831"/>
      <c r="AT464" s="1831"/>
      <c r="AU464" s="1831"/>
      <c r="AV464" s="1831"/>
      <c r="AW464" s="1831"/>
      <c r="AX464" s="1831"/>
      <c r="AY464" s="1831"/>
      <c r="AZ464" s="1831"/>
      <c r="BA464" s="1831"/>
      <c r="BB464" s="1831"/>
      <c r="BC464" s="1831"/>
      <c r="BD464" s="1831"/>
      <c r="BE464" s="1831"/>
      <c r="BF464" s="1831"/>
      <c r="BG464" s="1644"/>
    </row>
    <row customHeight="1" ht="11.25">
      <c r="A465" s="1175" t="s">
        <v>1036</v>
      </c>
      <c r="B465" s="1175"/>
      <c r="C465" s="1175"/>
      <c r="D465" s="1169"/>
      <c r="E465" s="1179"/>
      <c r="F465" s="1837"/>
      <c r="G465" s="1838"/>
      <c r="H465" s="2543" t="s">
        <v>1268</v>
      </c>
      <c r="I465" s="2544"/>
      <c r="J465" s="2727"/>
      <c r="K465" s="2545"/>
      <c r="L465" s="2135"/>
      <c r="M465" s="2136"/>
      <c r="N465" s="2536"/>
      <c r="O465" s="2537">
        <v>1</v>
      </c>
      <c r="P465" s="2538" t="s">
        <v>63</v>
      </c>
      <c r="Q465" s="2725" t="s">
        <v>1256</v>
      </c>
      <c r="R465" s="2726" t="s">
        <v>1076</v>
      </c>
      <c r="S465" s="2726" t="s">
        <v>110</v>
      </c>
      <c r="T465" s="2726" t="s">
        <v>110</v>
      </c>
      <c r="U465" s="2726" t="s">
        <v>111</v>
      </c>
      <c r="V465" s="2726" t="s">
        <v>1257</v>
      </c>
      <c r="W465" s="2726" t="s">
        <v>1258</v>
      </c>
      <c r="X465" s="2726" t="s">
        <v>1259</v>
      </c>
      <c r="Y465" s="2726" t="s">
        <v>103</v>
      </c>
      <c r="Z465" s="1184"/>
      <c r="AA465" s="1185"/>
      <c r="AB465" s="1185"/>
      <c r="AC465" s="1189"/>
      <c r="AD465" s="1189"/>
      <c r="AE465" s="1190"/>
      <c r="AF465" s="2534"/>
      <c r="AG465" s="2535"/>
      <c r="AH465" s="2535"/>
      <c r="AI465" s="2906"/>
      <c r="AJ465" s="2535"/>
      <c r="AK465" s="2535"/>
      <c r="AL465" s="1994"/>
      <c r="AM465" s="1831"/>
      <c r="AN465" s="1831"/>
      <c r="AO465" s="1831"/>
      <c r="AP465" s="1831"/>
      <c r="AQ465" s="1831"/>
      <c r="AR465" s="1831"/>
      <c r="AS465" s="1831"/>
      <c r="AT465" s="1831"/>
      <c r="AU465" s="1831"/>
      <c r="AV465" s="1831"/>
      <c r="AW465" s="1831"/>
      <c r="AX465" s="1831"/>
      <c r="AY465" s="1831"/>
      <c r="AZ465" s="1831"/>
      <c r="BA465" s="1831"/>
      <c r="BB465" s="1831"/>
      <c r="BC465" s="1831"/>
      <c r="BD465" s="1831"/>
      <c r="BE465" s="1831"/>
      <c r="BF465" s="1831"/>
      <c r="BG465" s="1644"/>
    </row>
    <row customHeight="1" ht="11.25">
      <c r="A466" s="1175" t="s">
        <v>1036</v>
      </c>
      <c r="B466" s="1175"/>
      <c r="C466" s="1175"/>
      <c r="D466" s="1169"/>
      <c r="E466" s="1179"/>
      <c r="F466" s="1837"/>
      <c r="G466" s="1838"/>
      <c r="H466" s="2543" t="s">
        <v>1268</v>
      </c>
      <c r="I466" s="2544"/>
      <c r="J466" s="2727"/>
      <c r="K466" s="2545"/>
      <c r="L466" s="2135"/>
      <c r="M466" s="2136"/>
      <c r="N466" s="2536"/>
      <c r="O466" s="2537"/>
      <c r="P466" s="2539"/>
      <c r="Q466" s="2725"/>
      <c r="R466" s="2541"/>
      <c r="S466" s="2542"/>
      <c r="T466" s="2541"/>
      <c r="U466" s="2541"/>
      <c r="V466" s="2541"/>
      <c r="W466" s="2541"/>
      <c r="X466" s="2541"/>
      <c r="Y466" s="2541"/>
      <c r="Z466" s="1836"/>
      <c r="AA466" s="1802">
        <v>1</v>
      </c>
      <c r="AB466" s="1188" t="s">
        <v>1081</v>
      </c>
      <c r="AC466" s="1178">
        <v>4217.14</v>
      </c>
      <c r="AD466" s="1188" t="str">
        <f>AB466</f>
        <v>      Амортизационные отчисления с выделением результатов переоценки основных средств и нематериальных активов</v>
      </c>
      <c r="AE466" s="1178">
        <v>4217.14</v>
      </c>
      <c r="AF466" s="2534"/>
      <c r="AG466" s="2535"/>
      <c r="AH466" s="2535"/>
      <c r="AI466" s="2906"/>
      <c r="AJ466" s="2535"/>
      <c r="AK466" s="2535"/>
      <c r="AL466" s="1994"/>
      <c r="AM466" s="1831"/>
      <c r="AN466" s="1831"/>
      <c r="AO466" s="1831"/>
      <c r="AP466" s="1831"/>
      <c r="AQ466" s="1831"/>
      <c r="AR466" s="1831"/>
      <c r="AS466" s="1831"/>
      <c r="AT466" s="1831"/>
      <c r="AU466" s="1831"/>
      <c r="AV466" s="1831"/>
      <c r="AW466" s="1831"/>
      <c r="AX466" s="1831"/>
      <c r="AY466" s="1831"/>
      <c r="AZ466" s="1831"/>
      <c r="BA466" s="1831"/>
      <c r="BB466" s="1831"/>
      <c r="BC466" s="1831"/>
      <c r="BD466" s="1831"/>
      <c r="BE466" s="1831"/>
      <c r="BF466" s="1831"/>
      <c r="BG466" s="1644"/>
    </row>
    <row customHeight="1" ht="11.25">
      <c r="A467" s="1175" t="s">
        <v>1036</v>
      </c>
      <c r="B467" s="1175"/>
      <c r="C467" s="1175"/>
      <c r="D467" s="1169"/>
      <c r="E467" s="1179"/>
      <c r="F467" s="1838"/>
      <c r="G467" s="1838"/>
      <c r="H467" s="1838"/>
      <c r="I467" s="1838"/>
      <c r="J467" s="1838"/>
      <c r="K467" s="1838"/>
      <c r="L467" s="1838"/>
      <c r="M467" s="1838"/>
      <c r="N467" s="1838"/>
      <c r="O467" s="1838"/>
      <c r="P467" s="1838"/>
      <c r="Q467" s="1838"/>
      <c r="R467" s="1838"/>
      <c r="S467" s="1838"/>
      <c r="T467" s="1838"/>
      <c r="U467" s="1838"/>
      <c r="V467" s="1838"/>
      <c r="W467" s="1838"/>
      <c r="X467" s="1838"/>
      <c r="Y467" s="1838"/>
      <c r="Z467" s="692" t="s">
        <v>104</v>
      </c>
      <c r="AA467" s="1822" t="s">
        <v>103</v>
      </c>
      <c r="AB467" s="1188" t="s">
        <v>1091</v>
      </c>
      <c r="AC467" s="1178">
        <v>37954.29</v>
      </c>
      <c r="AD467" s="1188" t="str">
        <f>AB467</f>
        <v>  Прочие собственные средства</v>
      </c>
      <c r="AE467" s="1178">
        <v>38228.96</v>
      </c>
      <c r="AF467" s="2095"/>
      <c r="AG467" s="1767"/>
      <c r="AH467" s="1767"/>
      <c r="AI467" s="2908"/>
      <c r="AJ467" s="1767"/>
      <c r="AK467" s="1993"/>
      <c r="AL467" s="1994"/>
      <c r="AM467" s="1831"/>
      <c r="AN467" s="1831"/>
      <c r="AO467" s="1831"/>
      <c r="AP467" s="1831"/>
      <c r="AQ467" s="1831"/>
      <c r="AR467" s="1831"/>
      <c r="AS467" s="1831"/>
      <c r="AT467" s="1831"/>
      <c r="AU467" s="1831"/>
      <c r="AV467" s="1831"/>
      <c r="AW467" s="1831"/>
      <c r="AX467" s="1831"/>
      <c r="AY467" s="1831"/>
      <c r="AZ467" s="1831"/>
      <c r="BA467" s="1831"/>
      <c r="BB467" s="1831"/>
      <c r="BC467" s="1831"/>
      <c r="BD467" s="1831"/>
      <c r="BE467" s="1831"/>
      <c r="BF467" s="1831"/>
      <c r="BG467" s="1644"/>
    </row>
    <row customHeight="1" ht="11.25">
      <c r="A468" s="1175" t="s">
        <v>1036</v>
      </c>
      <c r="B468" s="1175"/>
      <c r="C468" s="1175"/>
      <c r="D468" s="1169"/>
      <c r="E468" s="1179"/>
      <c r="F468" s="1837"/>
      <c r="G468" s="1838"/>
      <c r="H468" s="2543" t="s">
        <v>1268</v>
      </c>
      <c r="I468" s="2544"/>
      <c r="J468" s="2727"/>
      <c r="K468" s="2545"/>
      <c r="L468" s="2135"/>
      <c r="M468" s="2136"/>
      <c r="N468" s="2536"/>
      <c r="O468" s="2537"/>
      <c r="P468" s="2540"/>
      <c r="Q468" s="2725"/>
      <c r="R468" s="2541"/>
      <c r="S468" s="2542"/>
      <c r="T468" s="2541"/>
      <c r="U468" s="2541"/>
      <c r="V468" s="2541"/>
      <c r="W468" s="2541"/>
      <c r="X468" s="2541"/>
      <c r="Y468" s="2541"/>
      <c r="Z468" s="1184"/>
      <c r="AA468" s="1185"/>
      <c r="AB468" s="1250" t="s">
        <v>1082</v>
      </c>
      <c r="AC468" s="1189"/>
      <c r="AD468" s="1189"/>
      <c r="AE468" s="1191"/>
      <c r="AF468" s="2534"/>
      <c r="AG468" s="2535"/>
      <c r="AH468" s="2535"/>
      <c r="AI468" s="2906"/>
      <c r="AJ468" s="2535"/>
      <c r="AK468" s="2535"/>
      <c r="AL468" s="1994"/>
      <c r="AM468" s="1831"/>
      <c r="AN468" s="1831"/>
      <c r="AO468" s="1831"/>
      <c r="AP468" s="1831"/>
      <c r="AQ468" s="1831"/>
      <c r="AR468" s="1831"/>
      <c r="AS468" s="1831"/>
      <c r="AT468" s="1831"/>
      <c r="AU468" s="1831"/>
      <c r="AV468" s="1831"/>
      <c r="AW468" s="1831"/>
      <c r="AX468" s="1831"/>
      <c r="AY468" s="1831"/>
      <c r="AZ468" s="1831"/>
      <c r="BA468" s="1831"/>
      <c r="BB468" s="1831"/>
      <c r="BC468" s="1831"/>
      <c r="BD468" s="1831"/>
      <c r="BE468" s="1831"/>
      <c r="BF468" s="1831"/>
      <c r="BG468" s="1644"/>
    </row>
    <row customHeight="1" ht="11.25">
      <c r="A469" s="1175" t="s">
        <v>1036</v>
      </c>
      <c r="B469" s="1175"/>
      <c r="C469" s="1175"/>
      <c r="D469" s="1169"/>
      <c r="E469" s="1179"/>
      <c r="F469" s="1837"/>
      <c r="G469" s="1838"/>
      <c r="H469" s="2543" t="s">
        <v>1268</v>
      </c>
      <c r="I469" s="2544"/>
      <c r="J469" s="2727"/>
      <c r="K469" s="2545"/>
      <c r="L469" s="2135"/>
      <c r="M469" s="2136"/>
      <c r="N469" s="1184"/>
      <c r="O469" s="1185"/>
      <c r="P469" s="1177" t="s">
        <v>1083</v>
      </c>
      <c r="Q469" s="1185"/>
      <c r="R469" s="1185"/>
      <c r="S469" s="1185"/>
      <c r="T469" s="1185"/>
      <c r="U469" s="1185"/>
      <c r="V469" s="1185"/>
      <c r="W469" s="1185"/>
      <c r="X469" s="1185"/>
      <c r="Y469" s="1185"/>
      <c r="Z469" s="1185"/>
      <c r="AA469" s="1185"/>
      <c r="AB469" s="1185"/>
      <c r="AC469" s="1185"/>
      <c r="AD469" s="1185"/>
      <c r="AE469" s="1192"/>
      <c r="AF469" s="2534"/>
      <c r="AG469" s="2535"/>
      <c r="AH469" s="2535"/>
      <c r="AI469" s="2906"/>
      <c r="AJ469" s="2535"/>
      <c r="AK469" s="2535"/>
      <c r="AL469" s="1994"/>
      <c r="AM469" s="1831"/>
      <c r="AN469" s="1831"/>
      <c r="AO469" s="1831"/>
      <c r="AP469" s="1831"/>
      <c r="AQ469" s="1831"/>
      <c r="AR469" s="1831"/>
      <c r="AS469" s="1831"/>
      <c r="AT469" s="1831"/>
      <c r="AU469" s="1831"/>
      <c r="AV469" s="1831"/>
      <c r="AW469" s="1831"/>
      <c r="AX469" s="1831"/>
      <c r="AY469" s="1831"/>
      <c r="AZ469" s="1831"/>
      <c r="BA469" s="1831"/>
      <c r="BB469" s="1831"/>
      <c r="BC469" s="1831"/>
      <c r="BD469" s="1831"/>
      <c r="BE469" s="1831"/>
      <c r="BF469" s="1831"/>
      <c r="BG469" s="1644"/>
    </row>
    <row customHeight="1" ht="11.25">
      <c r="A470" s="1175" t="s">
        <v>1036</v>
      </c>
      <c r="B470" s="1175" t="s">
        <v>22</v>
      </c>
      <c r="C470" s="1175"/>
      <c r="D470" s="1169"/>
      <c r="E470" s="1179"/>
      <c r="F470" s="1837"/>
      <c r="G470" s="692" t="s">
        <v>104</v>
      </c>
      <c r="H470" s="2543" t="s">
        <v>1273</v>
      </c>
      <c r="I470" s="2544" t="s">
        <v>1137</v>
      </c>
      <c r="J470" s="2727" t="s">
        <v>22</v>
      </c>
      <c r="K470" s="2545" t="s">
        <v>1274</v>
      </c>
      <c r="L470" s="2135" t="s">
        <v>19</v>
      </c>
      <c r="M470" s="2136"/>
      <c r="N470" s="1992"/>
      <c r="O470" s="1186" t="s">
        <v>391</v>
      </c>
      <c r="P470" s="1187"/>
      <c r="Q470" s="1187"/>
      <c r="R470" s="1187"/>
      <c r="S470" s="1187"/>
      <c r="T470" s="1187"/>
      <c r="U470" s="1187"/>
      <c r="V470" s="1187"/>
      <c r="W470" s="1187"/>
      <c r="X470" s="1187"/>
      <c r="Y470" s="1187"/>
      <c r="Z470" s="1187"/>
      <c r="AA470" s="1187"/>
      <c r="AB470" s="1187"/>
      <c r="AC470" s="1187"/>
      <c r="AD470" s="1187"/>
      <c r="AE470" s="1187"/>
      <c r="AF470" s="2534">
        <v>1</v>
      </c>
      <c r="AG470" s="2535" t="s">
        <v>1072</v>
      </c>
      <c r="AH470" s="2535" t="s">
        <v>1085</v>
      </c>
      <c r="AI470" s="2534">
        <v>1</v>
      </c>
      <c r="AJ470" s="2535" t="s">
        <v>1072</v>
      </c>
      <c r="AK470" s="2535" t="s">
        <v>1085</v>
      </c>
      <c r="AL470" s="1994"/>
      <c r="AM470" s="1831"/>
      <c r="AN470" s="1831"/>
      <c r="AO470" s="1831"/>
      <c r="AP470" s="1831"/>
      <c r="AQ470" s="1831"/>
      <c r="AR470" s="1831"/>
      <c r="AS470" s="1831"/>
      <c r="AT470" s="1831"/>
      <c r="AU470" s="1831"/>
      <c r="AV470" s="1831"/>
      <c r="AW470" s="1831"/>
      <c r="AX470" s="1831"/>
      <c r="AY470" s="1831"/>
      <c r="AZ470" s="1831"/>
      <c r="BA470" s="1831"/>
      <c r="BB470" s="1831"/>
      <c r="BC470" s="1831"/>
      <c r="BD470" s="1831"/>
      <c r="BE470" s="1831"/>
      <c r="BF470" s="1831"/>
      <c r="BG470" s="1644"/>
    </row>
    <row customHeight="1" ht="11.25">
      <c r="A471" s="1175" t="s">
        <v>1036</v>
      </c>
      <c r="B471" s="1175"/>
      <c r="C471" s="1175"/>
      <c r="D471" s="1169"/>
      <c r="E471" s="1179"/>
      <c r="F471" s="1837"/>
      <c r="G471" s="1838"/>
      <c r="H471" s="2543" t="s">
        <v>1271</v>
      </c>
      <c r="I471" s="2544"/>
      <c r="J471" s="2727"/>
      <c r="K471" s="2545"/>
      <c r="L471" s="2135"/>
      <c r="M471" s="2136"/>
      <c r="N471" s="2536"/>
      <c r="O471" s="2537">
        <v>1</v>
      </c>
      <c r="P471" s="2538" t="s">
        <v>63</v>
      </c>
      <c r="Q471" s="2725" t="s">
        <v>1256</v>
      </c>
      <c r="R471" s="2726" t="s">
        <v>1076</v>
      </c>
      <c r="S471" s="2726" t="s">
        <v>110</v>
      </c>
      <c r="T471" s="2726" t="s">
        <v>110</v>
      </c>
      <c r="U471" s="2726" t="s">
        <v>111</v>
      </c>
      <c r="V471" s="2726" t="s">
        <v>1257</v>
      </c>
      <c r="W471" s="2726" t="s">
        <v>1258</v>
      </c>
      <c r="X471" s="2726" t="s">
        <v>1259</v>
      </c>
      <c r="Y471" s="2726" t="s">
        <v>103</v>
      </c>
      <c r="Z471" s="1184"/>
      <c r="AA471" s="1185"/>
      <c r="AB471" s="1185"/>
      <c r="AC471" s="1189"/>
      <c r="AD471" s="1189"/>
      <c r="AE471" s="1190"/>
      <c r="AF471" s="2534"/>
      <c r="AG471" s="2535"/>
      <c r="AH471" s="2535"/>
      <c r="AI471" s="2534"/>
      <c r="AJ471" s="2535"/>
      <c r="AK471" s="2535"/>
      <c r="AL471" s="1994"/>
      <c r="AM471" s="1831"/>
      <c r="AN471" s="1831"/>
      <c r="AO471" s="1831"/>
      <c r="AP471" s="1831"/>
      <c r="AQ471" s="1831"/>
      <c r="AR471" s="1831"/>
      <c r="AS471" s="1831"/>
      <c r="AT471" s="1831"/>
      <c r="AU471" s="1831"/>
      <c r="AV471" s="1831"/>
      <c r="AW471" s="1831"/>
      <c r="AX471" s="1831"/>
      <c r="AY471" s="1831"/>
      <c r="AZ471" s="1831"/>
      <c r="BA471" s="1831"/>
      <c r="BB471" s="1831"/>
      <c r="BC471" s="1831"/>
      <c r="BD471" s="1831"/>
      <c r="BE471" s="1831"/>
      <c r="BF471" s="1831"/>
      <c r="BG471" s="1644"/>
    </row>
    <row customHeight="1" ht="11.25">
      <c r="A472" s="1175" t="s">
        <v>1036</v>
      </c>
      <c r="B472" s="1175"/>
      <c r="C472" s="1175"/>
      <c r="D472" s="1169"/>
      <c r="E472" s="1179"/>
      <c r="F472" s="1837"/>
      <c r="G472" s="1838"/>
      <c r="H472" s="2543" t="s">
        <v>1271</v>
      </c>
      <c r="I472" s="2544"/>
      <c r="J472" s="2727"/>
      <c r="K472" s="2545"/>
      <c r="L472" s="2135"/>
      <c r="M472" s="2136"/>
      <c r="N472" s="2536"/>
      <c r="O472" s="2537"/>
      <c r="P472" s="2539"/>
      <c r="Q472" s="2725"/>
      <c r="R472" s="2541"/>
      <c r="S472" s="2542"/>
      <c r="T472" s="2541"/>
      <c r="U472" s="2541"/>
      <c r="V472" s="2541"/>
      <c r="W472" s="2541"/>
      <c r="X472" s="2541"/>
      <c r="Y472" s="2541"/>
      <c r="Z472" s="1836"/>
      <c r="AA472" s="1802">
        <v>1</v>
      </c>
      <c r="AB472" s="1188" t="s">
        <v>1081</v>
      </c>
      <c r="AC472" s="1178">
        <v>449.41</v>
      </c>
      <c r="AD472" s="1188" t="str">
        <f>AB472</f>
        <v>      Амортизационные отчисления с выделением результатов переоценки основных средств и нематериальных активов</v>
      </c>
      <c r="AE472" s="1178">
        <v>449.41</v>
      </c>
      <c r="AF472" s="2534"/>
      <c r="AG472" s="2535"/>
      <c r="AH472" s="2535"/>
      <c r="AI472" s="2534"/>
      <c r="AJ472" s="2535"/>
      <c r="AK472" s="2535"/>
      <c r="AL472" s="1994"/>
      <c r="AM472" s="1831"/>
      <c r="AN472" s="1831"/>
      <c r="AO472" s="1831"/>
      <c r="AP472" s="1831"/>
      <c r="AQ472" s="1831"/>
      <c r="AR472" s="1831"/>
      <c r="AS472" s="1831"/>
      <c r="AT472" s="1831"/>
      <c r="AU472" s="1831"/>
      <c r="AV472" s="1831"/>
      <c r="AW472" s="1831"/>
      <c r="AX472" s="1831"/>
      <c r="AY472" s="1831"/>
      <c r="AZ472" s="1831"/>
      <c r="BA472" s="1831"/>
      <c r="BB472" s="1831"/>
      <c r="BC472" s="1831"/>
      <c r="BD472" s="1831"/>
      <c r="BE472" s="1831"/>
      <c r="BF472" s="1831"/>
      <c r="BG472" s="1644"/>
    </row>
    <row customHeight="1" ht="11.25">
      <c r="A473" s="1175" t="s">
        <v>1036</v>
      </c>
      <c r="B473" s="1175"/>
      <c r="C473" s="1175"/>
      <c r="D473" s="1169"/>
      <c r="E473" s="1179"/>
      <c r="F473" s="1838"/>
      <c r="G473" s="1838"/>
      <c r="H473" s="1838"/>
      <c r="I473" s="1838"/>
      <c r="J473" s="1838"/>
      <c r="K473" s="1838"/>
      <c r="L473" s="1838"/>
      <c r="M473" s="1838"/>
      <c r="N473" s="1838"/>
      <c r="O473" s="1838"/>
      <c r="P473" s="1838"/>
      <c r="Q473" s="1838"/>
      <c r="R473" s="1838"/>
      <c r="S473" s="1838"/>
      <c r="T473" s="1838"/>
      <c r="U473" s="1838"/>
      <c r="V473" s="1838"/>
      <c r="W473" s="1838"/>
      <c r="X473" s="1838"/>
      <c r="Y473" s="1838"/>
      <c r="Z473" s="692" t="s">
        <v>104</v>
      </c>
      <c r="AA473" s="1822" t="s">
        <v>103</v>
      </c>
      <c r="AB473" s="1188" t="s">
        <v>1091</v>
      </c>
      <c r="AC473" s="1178">
        <v>4044.67</v>
      </c>
      <c r="AD473" s="1188" t="str">
        <f>AB473</f>
        <v>  Прочие собственные средства</v>
      </c>
      <c r="AE473" s="1178">
        <v>414.9</v>
      </c>
      <c r="AF473" s="2095"/>
      <c r="AG473" s="1767"/>
      <c r="AH473" s="1767"/>
      <c r="AI473" s="2095"/>
      <c r="AJ473" s="1767"/>
      <c r="AK473" s="1993"/>
      <c r="AL473" s="1994"/>
      <c r="AM473" s="1831"/>
      <c r="AN473" s="1831"/>
      <c r="AO473" s="1831"/>
      <c r="AP473" s="1831"/>
      <c r="AQ473" s="1831"/>
      <c r="AR473" s="1831"/>
      <c r="AS473" s="1831"/>
      <c r="AT473" s="1831"/>
      <c r="AU473" s="1831"/>
      <c r="AV473" s="1831"/>
      <c r="AW473" s="1831"/>
      <c r="AX473" s="1831"/>
      <c r="AY473" s="1831"/>
      <c r="AZ473" s="1831"/>
      <c r="BA473" s="1831"/>
      <c r="BB473" s="1831"/>
      <c r="BC473" s="1831"/>
      <c r="BD473" s="1831"/>
      <c r="BE473" s="1831"/>
      <c r="BF473" s="1831"/>
      <c r="BG473" s="1644"/>
    </row>
    <row customHeight="1" ht="11.25">
      <c r="A474" s="1175" t="s">
        <v>1036</v>
      </c>
      <c r="B474" s="1175"/>
      <c r="C474" s="1175"/>
      <c r="D474" s="1169"/>
      <c r="E474" s="1179"/>
      <c r="F474" s="1837"/>
      <c r="G474" s="1838"/>
      <c r="H474" s="2543" t="s">
        <v>1271</v>
      </c>
      <c r="I474" s="2544"/>
      <c r="J474" s="2727"/>
      <c r="K474" s="2545"/>
      <c r="L474" s="2135"/>
      <c r="M474" s="2136"/>
      <c r="N474" s="2536"/>
      <c r="O474" s="2537"/>
      <c r="P474" s="2540"/>
      <c r="Q474" s="2725"/>
      <c r="R474" s="2541"/>
      <c r="S474" s="2542"/>
      <c r="T474" s="2541"/>
      <c r="U474" s="2541"/>
      <c r="V474" s="2541"/>
      <c r="W474" s="2541"/>
      <c r="X474" s="2541"/>
      <c r="Y474" s="2541"/>
      <c r="Z474" s="1184"/>
      <c r="AA474" s="1185"/>
      <c r="AB474" s="1250" t="s">
        <v>1082</v>
      </c>
      <c r="AC474" s="1189"/>
      <c r="AD474" s="1189"/>
      <c r="AE474" s="1191"/>
      <c r="AF474" s="2534"/>
      <c r="AG474" s="2535"/>
      <c r="AH474" s="2535"/>
      <c r="AI474" s="2534"/>
      <c r="AJ474" s="2535"/>
      <c r="AK474" s="2535"/>
      <c r="AL474" s="1994"/>
      <c r="AM474" s="1831"/>
      <c r="AN474" s="1831"/>
      <c r="AO474" s="1831"/>
      <c r="AP474" s="1831"/>
      <c r="AQ474" s="1831"/>
      <c r="AR474" s="1831"/>
      <c r="AS474" s="1831"/>
      <c r="AT474" s="1831"/>
      <c r="AU474" s="1831"/>
      <c r="AV474" s="1831"/>
      <c r="AW474" s="1831"/>
      <c r="AX474" s="1831"/>
      <c r="AY474" s="1831"/>
      <c r="AZ474" s="1831"/>
      <c r="BA474" s="1831"/>
      <c r="BB474" s="1831"/>
      <c r="BC474" s="1831"/>
      <c r="BD474" s="1831"/>
      <c r="BE474" s="1831"/>
      <c r="BF474" s="1831"/>
      <c r="BG474" s="1644"/>
    </row>
    <row customHeight="1" ht="11.25">
      <c r="A475" s="1175" t="s">
        <v>1036</v>
      </c>
      <c r="B475" s="1175"/>
      <c r="C475" s="1175"/>
      <c r="D475" s="1169"/>
      <c r="E475" s="1179"/>
      <c r="F475" s="1837"/>
      <c r="G475" s="1838"/>
      <c r="H475" s="2543" t="s">
        <v>1271</v>
      </c>
      <c r="I475" s="2544"/>
      <c r="J475" s="2727"/>
      <c r="K475" s="2545"/>
      <c r="L475" s="2135"/>
      <c r="M475" s="2136"/>
      <c r="N475" s="1184"/>
      <c r="O475" s="1185"/>
      <c r="P475" s="1177" t="s">
        <v>1083</v>
      </c>
      <c r="Q475" s="1185"/>
      <c r="R475" s="1185"/>
      <c r="S475" s="1185"/>
      <c r="T475" s="1185"/>
      <c r="U475" s="1185"/>
      <c r="V475" s="1185"/>
      <c r="W475" s="1185"/>
      <c r="X475" s="1185"/>
      <c r="Y475" s="1185"/>
      <c r="Z475" s="1185"/>
      <c r="AA475" s="1185"/>
      <c r="AB475" s="1185"/>
      <c r="AC475" s="1185"/>
      <c r="AD475" s="1185"/>
      <c r="AE475" s="1192"/>
      <c r="AF475" s="2534"/>
      <c r="AG475" s="2535"/>
      <c r="AH475" s="2535"/>
      <c r="AI475" s="2534"/>
      <c r="AJ475" s="2535"/>
      <c r="AK475" s="2535"/>
      <c r="AL475" s="1994"/>
      <c r="AM475" s="1831"/>
      <c r="AN475" s="1831"/>
      <c r="AO475" s="1831"/>
      <c r="AP475" s="1831"/>
      <c r="AQ475" s="1831"/>
      <c r="AR475" s="1831"/>
      <c r="AS475" s="1831"/>
      <c r="AT475" s="1831"/>
      <c r="AU475" s="1831"/>
      <c r="AV475" s="1831"/>
      <c r="AW475" s="1831"/>
      <c r="AX475" s="1831"/>
      <c r="AY475" s="1831"/>
      <c r="AZ475" s="1831"/>
      <c r="BA475" s="1831"/>
      <c r="BB475" s="1831"/>
      <c r="BC475" s="1831"/>
      <c r="BD475" s="1831"/>
      <c r="BE475" s="1831"/>
      <c r="BF475" s="1831"/>
      <c r="BG475" s="1644"/>
    </row>
    <row customHeight="1" ht="11.25">
      <c r="A476" s="1175" t="s">
        <v>1036</v>
      </c>
      <c r="B476" s="1175" t="s">
        <v>22</v>
      </c>
      <c r="C476" s="1175"/>
      <c r="D476" s="1169"/>
      <c r="E476" s="1179"/>
      <c r="F476" s="1837"/>
      <c r="G476" s="692" t="s">
        <v>104</v>
      </c>
      <c r="H476" s="2543" t="s">
        <v>1275</v>
      </c>
      <c r="I476" s="2544" t="s">
        <v>1137</v>
      </c>
      <c r="J476" s="2727" t="s">
        <v>22</v>
      </c>
      <c r="K476" s="2545" t="s">
        <v>1276</v>
      </c>
      <c r="L476" s="2135" t="s">
        <v>19</v>
      </c>
      <c r="M476" s="2136"/>
      <c r="N476" s="1992"/>
      <c r="O476" s="1186" t="s">
        <v>391</v>
      </c>
      <c r="P476" s="1187"/>
      <c r="Q476" s="1187"/>
      <c r="R476" s="1187"/>
      <c r="S476" s="1187"/>
      <c r="T476" s="1187"/>
      <c r="U476" s="1187"/>
      <c r="V476" s="1187"/>
      <c r="W476" s="1187"/>
      <c r="X476" s="1187"/>
      <c r="Y476" s="1187"/>
      <c r="Z476" s="1187"/>
      <c r="AA476" s="1187"/>
      <c r="AB476" s="1187"/>
      <c r="AC476" s="1187"/>
      <c r="AD476" s="1187"/>
      <c r="AE476" s="1187"/>
      <c r="AF476" s="2534">
        <v>5</v>
      </c>
      <c r="AG476" s="2535" t="s">
        <v>1072</v>
      </c>
      <c r="AH476" s="2535" t="s">
        <v>1163</v>
      </c>
      <c r="AI476" s="2906">
        <v>1</v>
      </c>
      <c r="AJ476" s="2535" t="s">
        <v>1072</v>
      </c>
      <c r="AK476" s="2535" t="s">
        <v>1085</v>
      </c>
      <c r="AL476" s="1994"/>
      <c r="AM476" s="1831"/>
      <c r="AN476" s="1831"/>
      <c r="AO476" s="1831"/>
      <c r="AP476" s="1831"/>
      <c r="AQ476" s="1831"/>
      <c r="AR476" s="1831"/>
      <c r="AS476" s="1831"/>
      <c r="AT476" s="1831"/>
      <c r="AU476" s="1831"/>
      <c r="AV476" s="1831"/>
      <c r="AW476" s="1831"/>
      <c r="AX476" s="1831"/>
      <c r="AY476" s="1831"/>
      <c r="AZ476" s="1831"/>
      <c r="BA476" s="1831"/>
      <c r="BB476" s="1831"/>
      <c r="BC476" s="1831"/>
      <c r="BD476" s="1831"/>
      <c r="BE476" s="1831"/>
      <c r="BF476" s="1831"/>
      <c r="BG476" s="1644"/>
    </row>
    <row customHeight="1" ht="11.25">
      <c r="A477" s="1175" t="s">
        <v>1036</v>
      </c>
      <c r="B477" s="1175"/>
      <c r="C477" s="1175"/>
      <c r="D477" s="1169"/>
      <c r="E477" s="1179"/>
      <c r="F477" s="1837"/>
      <c r="G477" s="1838"/>
      <c r="H477" s="2543" t="s">
        <v>1273</v>
      </c>
      <c r="I477" s="2544"/>
      <c r="J477" s="2727"/>
      <c r="K477" s="2545"/>
      <c r="L477" s="2135"/>
      <c r="M477" s="2136"/>
      <c r="N477" s="2536"/>
      <c r="O477" s="2537">
        <v>1</v>
      </c>
      <c r="P477" s="2538" t="s">
        <v>63</v>
      </c>
      <c r="Q477" s="2725" t="s">
        <v>1256</v>
      </c>
      <c r="R477" s="2726" t="s">
        <v>1076</v>
      </c>
      <c r="S477" s="2726" t="s">
        <v>110</v>
      </c>
      <c r="T477" s="2726" t="s">
        <v>110</v>
      </c>
      <c r="U477" s="2726" t="s">
        <v>111</v>
      </c>
      <c r="V477" s="2726" t="s">
        <v>1257</v>
      </c>
      <c r="W477" s="2726" t="s">
        <v>1258</v>
      </c>
      <c r="X477" s="2726" t="s">
        <v>1259</v>
      </c>
      <c r="Y477" s="2726" t="s">
        <v>103</v>
      </c>
      <c r="Z477" s="1184"/>
      <c r="AA477" s="1185"/>
      <c r="AB477" s="1185"/>
      <c r="AC477" s="1189"/>
      <c r="AD477" s="1189"/>
      <c r="AE477" s="1190"/>
      <c r="AF477" s="2534"/>
      <c r="AG477" s="2535"/>
      <c r="AH477" s="2535"/>
      <c r="AI477" s="2906"/>
      <c r="AJ477" s="2535"/>
      <c r="AK477" s="2535"/>
      <c r="AL477" s="1994"/>
      <c r="AM477" s="1831"/>
      <c r="AN477" s="1831"/>
      <c r="AO477" s="1831"/>
      <c r="AP477" s="1831"/>
      <c r="AQ477" s="1831"/>
      <c r="AR477" s="1831"/>
      <c r="AS477" s="1831"/>
      <c r="AT477" s="1831"/>
      <c r="AU477" s="1831"/>
      <c r="AV477" s="1831"/>
      <c r="AW477" s="1831"/>
      <c r="AX477" s="1831"/>
      <c r="AY477" s="1831"/>
      <c r="AZ477" s="1831"/>
      <c r="BA477" s="1831"/>
      <c r="BB477" s="1831"/>
      <c r="BC477" s="1831"/>
      <c r="BD477" s="1831"/>
      <c r="BE477" s="1831"/>
      <c r="BF477" s="1831"/>
      <c r="BG477" s="1644"/>
    </row>
    <row customHeight="1" ht="11.25">
      <c r="A478" s="1175" t="s">
        <v>1036</v>
      </c>
      <c r="B478" s="1175"/>
      <c r="C478" s="1175"/>
      <c r="D478" s="1169"/>
      <c r="E478" s="1179"/>
      <c r="F478" s="1837"/>
      <c r="G478" s="1838"/>
      <c r="H478" s="2543" t="s">
        <v>1273</v>
      </c>
      <c r="I478" s="2544"/>
      <c r="J478" s="2727"/>
      <c r="K478" s="2545"/>
      <c r="L478" s="2135"/>
      <c r="M478" s="2136"/>
      <c r="N478" s="2536"/>
      <c r="O478" s="2537"/>
      <c r="P478" s="2539"/>
      <c r="Q478" s="2725"/>
      <c r="R478" s="2541"/>
      <c r="S478" s="2542"/>
      <c r="T478" s="2541"/>
      <c r="U478" s="2541"/>
      <c r="V478" s="2541"/>
      <c r="W478" s="2541"/>
      <c r="X478" s="2541"/>
      <c r="Y478" s="2541"/>
      <c r="Z478" s="1836"/>
      <c r="AA478" s="1802">
        <v>1</v>
      </c>
      <c r="AB478" s="1188" t="s">
        <v>1081</v>
      </c>
      <c r="AC478" s="1178">
        <v>31.02</v>
      </c>
      <c r="AD478" s="1188" t="str">
        <f>AB478</f>
        <v>      Амортизационные отчисления с выделением результатов переоценки основных средств и нематериальных активов</v>
      </c>
      <c r="AE478" s="1178">
        <v>31.02</v>
      </c>
      <c r="AF478" s="2534"/>
      <c r="AG478" s="2535"/>
      <c r="AH478" s="2535"/>
      <c r="AI478" s="2906"/>
      <c r="AJ478" s="2535"/>
      <c r="AK478" s="2535"/>
      <c r="AL478" s="1994"/>
      <c r="AM478" s="1831"/>
      <c r="AN478" s="1831"/>
      <c r="AO478" s="1831"/>
      <c r="AP478" s="1831"/>
      <c r="AQ478" s="1831"/>
      <c r="AR478" s="1831"/>
      <c r="AS478" s="1831"/>
      <c r="AT478" s="1831"/>
      <c r="AU478" s="1831"/>
      <c r="AV478" s="1831"/>
      <c r="AW478" s="1831"/>
      <c r="AX478" s="1831"/>
      <c r="AY478" s="1831"/>
      <c r="AZ478" s="1831"/>
      <c r="BA478" s="1831"/>
      <c r="BB478" s="1831"/>
      <c r="BC478" s="1831"/>
      <c r="BD478" s="1831"/>
      <c r="BE478" s="1831"/>
      <c r="BF478" s="1831"/>
      <c r="BG478" s="1644"/>
    </row>
    <row customHeight="1" ht="11.25">
      <c r="A479" s="1175" t="s">
        <v>1036</v>
      </c>
      <c r="B479" s="1175"/>
      <c r="C479" s="1175"/>
      <c r="D479" s="1169"/>
      <c r="E479" s="1179"/>
      <c r="F479" s="1838"/>
      <c r="G479" s="1838"/>
      <c r="H479" s="1838"/>
      <c r="I479" s="1838"/>
      <c r="J479" s="1838"/>
      <c r="K479" s="1838"/>
      <c r="L479" s="1838"/>
      <c r="M479" s="1838"/>
      <c r="N479" s="1838"/>
      <c r="O479" s="1838"/>
      <c r="P479" s="1838"/>
      <c r="Q479" s="1838"/>
      <c r="R479" s="1838"/>
      <c r="S479" s="1838"/>
      <c r="T479" s="1838"/>
      <c r="U479" s="1838"/>
      <c r="V479" s="1838"/>
      <c r="W479" s="1838"/>
      <c r="X479" s="1838"/>
      <c r="Y479" s="1838"/>
      <c r="Z479" s="692" t="s">
        <v>104</v>
      </c>
      <c r="AA479" s="1822" t="s">
        <v>103</v>
      </c>
      <c r="AB479" s="1188" t="s">
        <v>1091</v>
      </c>
      <c r="AC479" s="1178">
        <v>279.14</v>
      </c>
      <c r="AD479" s="1188" t="str">
        <f>AB479</f>
        <v>  Прочие собственные средства</v>
      </c>
      <c r="AE479" s="1178">
        <v>3187.83</v>
      </c>
      <c r="AF479" s="2095"/>
      <c r="AG479" s="1767"/>
      <c r="AH479" s="1767"/>
      <c r="AI479" s="2908"/>
      <c r="AJ479" s="1767"/>
      <c r="AK479" s="1993"/>
      <c r="AL479" s="1994"/>
      <c r="AM479" s="1831"/>
      <c r="AN479" s="1831"/>
      <c r="AO479" s="1831"/>
      <c r="AP479" s="1831"/>
      <c r="AQ479" s="1831"/>
      <c r="AR479" s="1831"/>
      <c r="AS479" s="1831"/>
      <c r="AT479" s="1831"/>
      <c r="AU479" s="1831"/>
      <c r="AV479" s="1831"/>
      <c r="AW479" s="1831"/>
      <c r="AX479" s="1831"/>
      <c r="AY479" s="1831"/>
      <c r="AZ479" s="1831"/>
      <c r="BA479" s="1831"/>
      <c r="BB479" s="1831"/>
      <c r="BC479" s="1831"/>
      <c r="BD479" s="1831"/>
      <c r="BE479" s="1831"/>
      <c r="BF479" s="1831"/>
      <c r="BG479" s="1644"/>
    </row>
    <row customHeight="1" ht="11.25">
      <c r="A480" s="1175" t="s">
        <v>1036</v>
      </c>
      <c r="B480" s="1175"/>
      <c r="C480" s="1175"/>
      <c r="D480" s="1169"/>
      <c r="E480" s="1179"/>
      <c r="F480" s="1837"/>
      <c r="G480" s="1838"/>
      <c r="H480" s="2543" t="s">
        <v>1273</v>
      </c>
      <c r="I480" s="2544"/>
      <c r="J480" s="2727"/>
      <c r="K480" s="2545"/>
      <c r="L480" s="2135"/>
      <c r="M480" s="2136"/>
      <c r="N480" s="2536"/>
      <c r="O480" s="2537"/>
      <c r="P480" s="2540"/>
      <c r="Q480" s="2725"/>
      <c r="R480" s="2541"/>
      <c r="S480" s="2542"/>
      <c r="T480" s="2541"/>
      <c r="U480" s="2541"/>
      <c r="V480" s="2541"/>
      <c r="W480" s="2541"/>
      <c r="X480" s="2541"/>
      <c r="Y480" s="2541"/>
      <c r="Z480" s="1184"/>
      <c r="AA480" s="1185"/>
      <c r="AB480" s="1250" t="s">
        <v>1082</v>
      </c>
      <c r="AC480" s="1189"/>
      <c r="AD480" s="1189"/>
      <c r="AE480" s="1191"/>
      <c r="AF480" s="2534"/>
      <c r="AG480" s="2535"/>
      <c r="AH480" s="2535"/>
      <c r="AI480" s="2906"/>
      <c r="AJ480" s="2535"/>
      <c r="AK480" s="2535"/>
      <c r="AL480" s="1994"/>
      <c r="AM480" s="1831"/>
      <c r="AN480" s="1831"/>
      <c r="AO480" s="1831"/>
      <c r="AP480" s="1831"/>
      <c r="AQ480" s="1831"/>
      <c r="AR480" s="1831"/>
      <c r="AS480" s="1831"/>
      <c r="AT480" s="1831"/>
      <c r="AU480" s="1831"/>
      <c r="AV480" s="1831"/>
      <c r="AW480" s="1831"/>
      <c r="AX480" s="1831"/>
      <c r="AY480" s="1831"/>
      <c r="AZ480" s="1831"/>
      <c r="BA480" s="1831"/>
      <c r="BB480" s="1831"/>
      <c r="BC480" s="1831"/>
      <c r="BD480" s="1831"/>
      <c r="BE480" s="1831"/>
      <c r="BF480" s="1831"/>
      <c r="BG480" s="1644"/>
    </row>
    <row customHeight="1" ht="11.25">
      <c r="A481" s="1175" t="s">
        <v>1036</v>
      </c>
      <c r="B481" s="1175"/>
      <c r="C481" s="1175"/>
      <c r="D481" s="1169"/>
      <c r="E481" s="1179"/>
      <c r="F481" s="1837"/>
      <c r="G481" s="1838"/>
      <c r="H481" s="2543" t="s">
        <v>1273</v>
      </c>
      <c r="I481" s="2544"/>
      <c r="J481" s="2727"/>
      <c r="K481" s="2545"/>
      <c r="L481" s="2135"/>
      <c r="M481" s="2136"/>
      <c r="N481" s="1184"/>
      <c r="O481" s="1185"/>
      <c r="P481" s="1177" t="s">
        <v>1083</v>
      </c>
      <c r="Q481" s="1185"/>
      <c r="R481" s="1185"/>
      <c r="S481" s="1185"/>
      <c r="T481" s="1185"/>
      <c r="U481" s="1185"/>
      <c r="V481" s="1185"/>
      <c r="W481" s="1185"/>
      <c r="X481" s="1185"/>
      <c r="Y481" s="1185"/>
      <c r="Z481" s="1185"/>
      <c r="AA481" s="1185"/>
      <c r="AB481" s="1185"/>
      <c r="AC481" s="1185"/>
      <c r="AD481" s="1185"/>
      <c r="AE481" s="1192"/>
      <c r="AF481" s="2534"/>
      <c r="AG481" s="2535"/>
      <c r="AH481" s="2535"/>
      <c r="AI481" s="2906"/>
      <c r="AJ481" s="2535"/>
      <c r="AK481" s="2535"/>
      <c r="AL481" s="1994"/>
      <c r="AM481" s="1831"/>
      <c r="AN481" s="1831"/>
      <c r="AO481" s="1831"/>
      <c r="AP481" s="1831"/>
      <c r="AQ481" s="1831"/>
      <c r="AR481" s="1831"/>
      <c r="AS481" s="1831"/>
      <c r="AT481" s="1831"/>
      <c r="AU481" s="1831"/>
      <c r="AV481" s="1831"/>
      <c r="AW481" s="1831"/>
      <c r="AX481" s="1831"/>
      <c r="AY481" s="1831"/>
      <c r="AZ481" s="1831"/>
      <c r="BA481" s="1831"/>
      <c r="BB481" s="1831"/>
      <c r="BC481" s="1831"/>
      <c r="BD481" s="1831"/>
      <c r="BE481" s="1831"/>
      <c r="BF481" s="1831"/>
      <c r="BG481" s="1644"/>
    </row>
    <row customHeight="1" ht="11.25">
      <c r="A482" s="1175" t="s">
        <v>1036</v>
      </c>
      <c r="B482" s="1175" t="s">
        <v>22</v>
      </c>
      <c r="C482" s="1175"/>
      <c r="D482" s="1169"/>
      <c r="E482" s="1179"/>
      <c r="F482" s="1837"/>
      <c r="G482" s="692" t="s">
        <v>104</v>
      </c>
      <c r="H482" s="2543" t="s">
        <v>1277</v>
      </c>
      <c r="I482" s="2544" t="s">
        <v>1087</v>
      </c>
      <c r="J482" s="2727" t="s">
        <v>22</v>
      </c>
      <c r="K482" s="2545" t="s">
        <v>1278</v>
      </c>
      <c r="L482" s="2135" t="s">
        <v>19</v>
      </c>
      <c r="M482" s="2136"/>
      <c r="N482" s="1992"/>
      <c r="O482" s="1186" t="s">
        <v>391</v>
      </c>
      <c r="P482" s="1187"/>
      <c r="Q482" s="1187"/>
      <c r="R482" s="1187"/>
      <c r="S482" s="1187"/>
      <c r="T482" s="1187"/>
      <c r="U482" s="1187"/>
      <c r="V482" s="1187"/>
      <c r="W482" s="1187"/>
      <c r="X482" s="1187"/>
      <c r="Y482" s="1187"/>
      <c r="Z482" s="1187"/>
      <c r="AA482" s="1187"/>
      <c r="AB482" s="1187"/>
      <c r="AC482" s="1187"/>
      <c r="AD482" s="1187"/>
      <c r="AE482" s="1187"/>
      <c r="AF482" s="2534">
        <v>3</v>
      </c>
      <c r="AG482" s="2535" t="s">
        <v>1072</v>
      </c>
      <c r="AH482" s="2535" t="s">
        <v>1105</v>
      </c>
      <c r="AI482" s="2724"/>
      <c r="AJ482" s="2535" t="s">
        <v>1074</v>
      </c>
      <c r="AK482" s="2535" t="s">
        <v>1074</v>
      </c>
      <c r="AL482" s="1994"/>
      <c r="AM482" s="1831"/>
      <c r="AN482" s="1831"/>
      <c r="AO482" s="1831"/>
      <c r="AP482" s="1831"/>
      <c r="AQ482" s="1831"/>
      <c r="AR482" s="1831"/>
      <c r="AS482" s="1831"/>
      <c r="AT482" s="1831"/>
      <c r="AU482" s="1831"/>
      <c r="AV482" s="1831"/>
      <c r="AW482" s="1831"/>
      <c r="AX482" s="1831"/>
      <c r="AY482" s="1831"/>
      <c r="AZ482" s="1831"/>
      <c r="BA482" s="1831"/>
      <c r="BB482" s="1831"/>
      <c r="BC482" s="1831"/>
      <c r="BD482" s="1831"/>
      <c r="BE482" s="1831"/>
      <c r="BF482" s="1831"/>
      <c r="BG482" s="1644"/>
    </row>
    <row customHeight="1" ht="11.25">
      <c r="A483" s="1175" t="s">
        <v>1036</v>
      </c>
      <c r="B483" s="1175"/>
      <c r="C483" s="1175"/>
      <c r="D483" s="1169"/>
      <c r="E483" s="1179"/>
      <c r="F483" s="1837"/>
      <c r="G483" s="1838"/>
      <c r="H483" s="2543" t="s">
        <v>1275</v>
      </c>
      <c r="I483" s="2544"/>
      <c r="J483" s="2727"/>
      <c r="K483" s="2545"/>
      <c r="L483" s="2135"/>
      <c r="M483" s="2136"/>
      <c r="N483" s="2536"/>
      <c r="O483" s="2537">
        <v>1</v>
      </c>
      <c r="P483" s="2538" t="s">
        <v>63</v>
      </c>
      <c r="Q483" s="2725" t="s">
        <v>1256</v>
      </c>
      <c r="R483" s="2726" t="s">
        <v>1076</v>
      </c>
      <c r="S483" s="2726" t="s">
        <v>110</v>
      </c>
      <c r="T483" s="2726" t="s">
        <v>110</v>
      </c>
      <c r="U483" s="2726" t="s">
        <v>111</v>
      </c>
      <c r="V483" s="2726" t="s">
        <v>1257</v>
      </c>
      <c r="W483" s="2726" t="s">
        <v>1258</v>
      </c>
      <c r="X483" s="2726" t="s">
        <v>1259</v>
      </c>
      <c r="Y483" s="2726" t="s">
        <v>103</v>
      </c>
      <c r="Z483" s="1184"/>
      <c r="AA483" s="1185"/>
      <c r="AB483" s="1185"/>
      <c r="AC483" s="1189"/>
      <c r="AD483" s="1189"/>
      <c r="AE483" s="1190"/>
      <c r="AF483" s="2534"/>
      <c r="AG483" s="2535"/>
      <c r="AH483" s="2535"/>
      <c r="AI483" s="2724"/>
      <c r="AJ483" s="2535"/>
      <c r="AK483" s="2535"/>
      <c r="AL483" s="1994"/>
      <c r="AM483" s="1831"/>
      <c r="AN483" s="1831"/>
      <c r="AO483" s="1831"/>
      <c r="AP483" s="1831"/>
      <c r="AQ483" s="1831"/>
      <c r="AR483" s="1831"/>
      <c r="AS483" s="1831"/>
      <c r="AT483" s="1831"/>
      <c r="AU483" s="1831"/>
      <c r="AV483" s="1831"/>
      <c r="AW483" s="1831"/>
      <c r="AX483" s="1831"/>
      <c r="AY483" s="1831"/>
      <c r="AZ483" s="1831"/>
      <c r="BA483" s="1831"/>
      <c r="BB483" s="1831"/>
      <c r="BC483" s="1831"/>
      <c r="BD483" s="1831"/>
      <c r="BE483" s="1831"/>
      <c r="BF483" s="1831"/>
      <c r="BG483" s="1644"/>
    </row>
    <row customHeight="1" ht="11.25">
      <c r="A484" s="1175" t="s">
        <v>1036</v>
      </c>
      <c r="B484" s="1175"/>
      <c r="C484" s="1175"/>
      <c r="D484" s="1169"/>
      <c r="E484" s="1179"/>
      <c r="F484" s="1837"/>
      <c r="G484" s="1838"/>
      <c r="H484" s="2543" t="s">
        <v>1275</v>
      </c>
      <c r="I484" s="2544"/>
      <c r="J484" s="2727"/>
      <c r="K484" s="2545"/>
      <c r="L484" s="2135"/>
      <c r="M484" s="2136"/>
      <c r="N484" s="2536"/>
      <c r="O484" s="2537"/>
      <c r="P484" s="2539"/>
      <c r="Q484" s="2725"/>
      <c r="R484" s="2541"/>
      <c r="S484" s="2542"/>
      <c r="T484" s="2541"/>
      <c r="U484" s="2541"/>
      <c r="V484" s="2541"/>
      <c r="W484" s="2541"/>
      <c r="X484" s="2541"/>
      <c r="Y484" s="2541"/>
      <c r="Z484" s="1836"/>
      <c r="AA484" s="1802">
        <v>1</v>
      </c>
      <c r="AB484" s="1188" t="s">
        <v>1081</v>
      </c>
      <c r="AC484" s="1178">
        <v>33404.42</v>
      </c>
      <c r="AD484" s="1188" t="str">
        <f>AB484</f>
        <v>      Амортизационные отчисления с выделением результатов переоценки основных средств и нематериальных активов</v>
      </c>
      <c r="AE484" s="1178">
        <v>33404.42</v>
      </c>
      <c r="AF484" s="2534"/>
      <c r="AG484" s="2535"/>
      <c r="AH484" s="2535"/>
      <c r="AI484" s="2724"/>
      <c r="AJ484" s="2535"/>
      <c r="AK484" s="2535"/>
      <c r="AL484" s="1994"/>
      <c r="AM484" s="1831"/>
      <c r="AN484" s="1831"/>
      <c r="AO484" s="1831"/>
      <c r="AP484" s="1831"/>
      <c r="AQ484" s="1831"/>
      <c r="AR484" s="1831"/>
      <c r="AS484" s="1831"/>
      <c r="AT484" s="1831"/>
      <c r="AU484" s="1831"/>
      <c r="AV484" s="1831"/>
      <c r="AW484" s="1831"/>
      <c r="AX484" s="1831"/>
      <c r="AY484" s="1831"/>
      <c r="AZ484" s="1831"/>
      <c r="BA484" s="1831"/>
      <c r="BB484" s="1831"/>
      <c r="BC484" s="1831"/>
      <c r="BD484" s="1831"/>
      <c r="BE484" s="1831"/>
      <c r="BF484" s="1831"/>
      <c r="BG484" s="1644"/>
    </row>
    <row customHeight="1" ht="11.25">
      <c r="A485" s="1175" t="s">
        <v>1036</v>
      </c>
      <c r="B485" s="1175"/>
      <c r="C485" s="1175"/>
      <c r="D485" s="1169"/>
      <c r="E485" s="1179"/>
      <c r="F485" s="1838"/>
      <c r="G485" s="1838"/>
      <c r="H485" s="1838"/>
      <c r="I485" s="1838"/>
      <c r="J485" s="1838"/>
      <c r="K485" s="1838"/>
      <c r="L485" s="1838"/>
      <c r="M485" s="1838"/>
      <c r="N485" s="1838"/>
      <c r="O485" s="1838"/>
      <c r="P485" s="1838"/>
      <c r="Q485" s="1838"/>
      <c r="R485" s="1838"/>
      <c r="S485" s="1838"/>
      <c r="T485" s="1838"/>
      <c r="U485" s="1838"/>
      <c r="V485" s="1838"/>
      <c r="W485" s="1838"/>
      <c r="X485" s="1838"/>
      <c r="Y485" s="1838"/>
      <c r="Z485" s="692" t="s">
        <v>104</v>
      </c>
      <c r="AA485" s="1822" t="s">
        <v>103</v>
      </c>
      <c r="AB485" s="1188" t="s">
        <v>1091</v>
      </c>
      <c r="AC485" s="1178">
        <v>12964.82</v>
      </c>
      <c r="AD485" s="1188" t="str">
        <f>AB485</f>
        <v>  Прочие собственные средства</v>
      </c>
      <c r="AE485" s="1178">
        <v>12964.82</v>
      </c>
      <c r="AF485" s="2095"/>
      <c r="AG485" s="1767"/>
      <c r="AH485" s="1767"/>
      <c r="AI485" s="2728"/>
      <c r="AJ485" s="1767"/>
      <c r="AK485" s="1993"/>
      <c r="AL485" s="1994"/>
      <c r="AM485" s="1831"/>
      <c r="AN485" s="1831"/>
      <c r="AO485" s="1831"/>
      <c r="AP485" s="1831"/>
      <c r="AQ485" s="1831"/>
      <c r="AR485" s="1831"/>
      <c r="AS485" s="1831"/>
      <c r="AT485" s="1831"/>
      <c r="AU485" s="1831"/>
      <c r="AV485" s="1831"/>
      <c r="AW485" s="1831"/>
      <c r="AX485" s="1831"/>
      <c r="AY485" s="1831"/>
      <c r="AZ485" s="1831"/>
      <c r="BA485" s="1831"/>
      <c r="BB485" s="1831"/>
      <c r="BC485" s="1831"/>
      <c r="BD485" s="1831"/>
      <c r="BE485" s="1831"/>
      <c r="BF485" s="1831"/>
      <c r="BG485" s="1644"/>
    </row>
    <row customHeight="1" ht="11.25">
      <c r="A486" s="1175" t="s">
        <v>1036</v>
      </c>
      <c r="B486" s="1175"/>
      <c r="C486" s="1175"/>
      <c r="D486" s="1169"/>
      <c r="E486" s="1179"/>
      <c r="F486" s="1837"/>
      <c r="G486" s="1838"/>
      <c r="H486" s="2543" t="s">
        <v>1275</v>
      </c>
      <c r="I486" s="2544"/>
      <c r="J486" s="2727"/>
      <c r="K486" s="2545"/>
      <c r="L486" s="2135"/>
      <c r="M486" s="2136"/>
      <c r="N486" s="2536"/>
      <c r="O486" s="2537"/>
      <c r="P486" s="2540"/>
      <c r="Q486" s="2725"/>
      <c r="R486" s="2541"/>
      <c r="S486" s="2542"/>
      <c r="T486" s="2541"/>
      <c r="U486" s="2541"/>
      <c r="V486" s="2541"/>
      <c r="W486" s="2541"/>
      <c r="X486" s="2541"/>
      <c r="Y486" s="2541"/>
      <c r="Z486" s="1184"/>
      <c r="AA486" s="1185"/>
      <c r="AB486" s="1250" t="s">
        <v>1082</v>
      </c>
      <c r="AC486" s="1189"/>
      <c r="AD486" s="1189"/>
      <c r="AE486" s="1191"/>
      <c r="AF486" s="2534"/>
      <c r="AG486" s="2535"/>
      <c r="AH486" s="2535"/>
      <c r="AI486" s="2724"/>
      <c r="AJ486" s="2535"/>
      <c r="AK486" s="2535"/>
      <c r="AL486" s="1994"/>
      <c r="AM486" s="1831"/>
      <c r="AN486" s="1831"/>
      <c r="AO486" s="1831"/>
      <c r="AP486" s="1831"/>
      <c r="AQ486" s="1831"/>
      <c r="AR486" s="1831"/>
      <c r="AS486" s="1831"/>
      <c r="AT486" s="1831"/>
      <c r="AU486" s="1831"/>
      <c r="AV486" s="1831"/>
      <c r="AW486" s="1831"/>
      <c r="AX486" s="1831"/>
      <c r="AY486" s="1831"/>
      <c r="AZ486" s="1831"/>
      <c r="BA486" s="1831"/>
      <c r="BB486" s="1831"/>
      <c r="BC486" s="1831"/>
      <c r="BD486" s="1831"/>
      <c r="BE486" s="1831"/>
      <c r="BF486" s="1831"/>
      <c r="BG486" s="1644"/>
    </row>
    <row customHeight="1" ht="11.25">
      <c r="A487" s="1175" t="s">
        <v>1036</v>
      </c>
      <c r="B487" s="1175"/>
      <c r="C487" s="1175"/>
      <c r="D487" s="1169"/>
      <c r="E487" s="1179"/>
      <c r="F487" s="1837"/>
      <c r="G487" s="1838"/>
      <c r="H487" s="2543" t="s">
        <v>1275</v>
      </c>
      <c r="I487" s="2544"/>
      <c r="J487" s="2727"/>
      <c r="K487" s="2545"/>
      <c r="L487" s="2135"/>
      <c r="M487" s="2136"/>
      <c r="N487" s="1184"/>
      <c r="O487" s="1185"/>
      <c r="P487" s="1177" t="s">
        <v>1083</v>
      </c>
      <c r="Q487" s="1185"/>
      <c r="R487" s="1185"/>
      <c r="S487" s="1185"/>
      <c r="T487" s="1185"/>
      <c r="U487" s="1185"/>
      <c r="V487" s="1185"/>
      <c r="W487" s="1185"/>
      <c r="X487" s="1185"/>
      <c r="Y487" s="1185"/>
      <c r="Z487" s="1185"/>
      <c r="AA487" s="1185"/>
      <c r="AB487" s="1185"/>
      <c r="AC487" s="1185"/>
      <c r="AD487" s="1185"/>
      <c r="AE487" s="1192"/>
      <c r="AF487" s="2534"/>
      <c r="AG487" s="2535"/>
      <c r="AH487" s="2535"/>
      <c r="AI487" s="2724"/>
      <c r="AJ487" s="2535"/>
      <c r="AK487" s="2535"/>
      <c r="AL487" s="1994"/>
      <c r="AM487" s="1831"/>
      <c r="AN487" s="1831"/>
      <c r="AO487" s="1831"/>
      <c r="AP487" s="1831"/>
      <c r="AQ487" s="1831"/>
      <c r="AR487" s="1831"/>
      <c r="AS487" s="1831"/>
      <c r="AT487" s="1831"/>
      <c r="AU487" s="1831"/>
      <c r="AV487" s="1831"/>
      <c r="AW487" s="1831"/>
      <c r="AX487" s="1831"/>
      <c r="AY487" s="1831"/>
      <c r="AZ487" s="1831"/>
      <c r="BA487" s="1831"/>
      <c r="BB487" s="1831"/>
      <c r="BC487" s="1831"/>
      <c r="BD487" s="1831"/>
      <c r="BE487" s="1831"/>
      <c r="BF487" s="1831"/>
      <c r="BG487" s="1644"/>
    </row>
    <row customHeight="1" ht="11.25">
      <c r="A488" s="1175" t="s">
        <v>1036</v>
      </c>
      <c r="B488" s="1175" t="s">
        <v>22</v>
      </c>
      <c r="C488" s="1175"/>
      <c r="D488" s="1169"/>
      <c r="E488" s="1179"/>
      <c r="F488" s="1837"/>
      <c r="G488" s="692" t="s">
        <v>104</v>
      </c>
      <c r="H488" s="2543" t="s">
        <v>1279</v>
      </c>
      <c r="I488" s="2544" t="s">
        <v>1280</v>
      </c>
      <c r="J488" s="2727" t="s">
        <v>22</v>
      </c>
      <c r="K488" s="2545" t="s">
        <v>1281</v>
      </c>
      <c r="L488" s="2135" t="s">
        <v>19</v>
      </c>
      <c r="M488" s="2136"/>
      <c r="N488" s="1992"/>
      <c r="O488" s="1186" t="s">
        <v>391</v>
      </c>
      <c r="P488" s="1187"/>
      <c r="Q488" s="1187"/>
      <c r="R488" s="1187"/>
      <c r="S488" s="1187"/>
      <c r="T488" s="1187"/>
      <c r="U488" s="1187"/>
      <c r="V488" s="1187"/>
      <c r="W488" s="1187"/>
      <c r="X488" s="1187"/>
      <c r="Y488" s="1187"/>
      <c r="Z488" s="1187"/>
      <c r="AA488" s="1187"/>
      <c r="AB488" s="1187"/>
      <c r="AC488" s="1187"/>
      <c r="AD488" s="1187"/>
      <c r="AE488" s="1187"/>
      <c r="AF488" s="2534">
        <v>5</v>
      </c>
      <c r="AG488" s="2535" t="s">
        <v>1072</v>
      </c>
      <c r="AH488" s="2535" t="s">
        <v>1163</v>
      </c>
      <c r="AI488" s="2724"/>
      <c r="AJ488" s="2535" t="s">
        <v>1074</v>
      </c>
      <c r="AK488" s="2535" t="s">
        <v>1074</v>
      </c>
      <c r="AL488" s="1994"/>
      <c r="AM488" s="1831"/>
      <c r="AN488" s="1831"/>
      <c r="AO488" s="1831"/>
      <c r="AP488" s="1831"/>
      <c r="AQ488" s="1831"/>
      <c r="AR488" s="1831"/>
      <c r="AS488" s="1831"/>
      <c r="AT488" s="1831"/>
      <c r="AU488" s="1831"/>
      <c r="AV488" s="1831"/>
      <c r="AW488" s="1831"/>
      <c r="AX488" s="1831"/>
      <c r="AY488" s="1831"/>
      <c r="AZ488" s="1831"/>
      <c r="BA488" s="1831"/>
      <c r="BB488" s="1831"/>
      <c r="BC488" s="1831"/>
      <c r="BD488" s="1831"/>
      <c r="BE488" s="1831"/>
      <c r="BF488" s="1831"/>
      <c r="BG488" s="1644"/>
    </row>
    <row customHeight="1" ht="11.25">
      <c r="A489" s="1175" t="s">
        <v>1036</v>
      </c>
      <c r="B489" s="1175"/>
      <c r="C489" s="1175"/>
      <c r="D489" s="1169"/>
      <c r="E489" s="1179"/>
      <c r="F489" s="1837"/>
      <c r="G489" s="1838"/>
      <c r="H489" s="2543" t="s">
        <v>1277</v>
      </c>
      <c r="I489" s="2544"/>
      <c r="J489" s="2727"/>
      <c r="K489" s="2545"/>
      <c r="L489" s="2135"/>
      <c r="M489" s="2136"/>
      <c r="N489" s="2536"/>
      <c r="O489" s="2537">
        <v>1</v>
      </c>
      <c r="P489" s="2538" t="s">
        <v>63</v>
      </c>
      <c r="Q489" s="2725" t="s">
        <v>1256</v>
      </c>
      <c r="R489" s="2726" t="s">
        <v>1076</v>
      </c>
      <c r="S489" s="2726" t="s">
        <v>110</v>
      </c>
      <c r="T489" s="2726" t="s">
        <v>110</v>
      </c>
      <c r="U489" s="2726" t="s">
        <v>111</v>
      </c>
      <c r="V489" s="2726" t="s">
        <v>1257</v>
      </c>
      <c r="W489" s="2726" t="s">
        <v>1258</v>
      </c>
      <c r="X489" s="2726" t="s">
        <v>1259</v>
      </c>
      <c r="Y489" s="2726" t="s">
        <v>103</v>
      </c>
      <c r="Z489" s="1184"/>
      <c r="AA489" s="1185"/>
      <c r="AB489" s="1185"/>
      <c r="AC489" s="1189"/>
      <c r="AD489" s="1189"/>
      <c r="AE489" s="1190"/>
      <c r="AF489" s="2534"/>
      <c r="AG489" s="2535"/>
      <c r="AH489" s="2535"/>
      <c r="AI489" s="2724"/>
      <c r="AJ489" s="2535"/>
      <c r="AK489" s="2535"/>
      <c r="AL489" s="1994"/>
      <c r="AM489" s="1831"/>
      <c r="AN489" s="1831"/>
      <c r="AO489" s="1831"/>
      <c r="AP489" s="1831"/>
      <c r="AQ489" s="1831"/>
      <c r="AR489" s="1831"/>
      <c r="AS489" s="1831"/>
      <c r="AT489" s="1831"/>
      <c r="AU489" s="1831"/>
      <c r="AV489" s="1831"/>
      <c r="AW489" s="1831"/>
      <c r="AX489" s="1831"/>
      <c r="AY489" s="1831"/>
      <c r="AZ489" s="1831"/>
      <c r="BA489" s="1831"/>
      <c r="BB489" s="1831"/>
      <c r="BC489" s="1831"/>
      <c r="BD489" s="1831"/>
      <c r="BE489" s="1831"/>
      <c r="BF489" s="1831"/>
      <c r="BG489" s="1644"/>
    </row>
    <row customHeight="1" ht="11.25">
      <c r="A490" s="1175" t="s">
        <v>1036</v>
      </c>
      <c r="B490" s="1175"/>
      <c r="C490" s="1175"/>
      <c r="D490" s="1169"/>
      <c r="E490" s="1179"/>
      <c r="F490" s="1837"/>
      <c r="G490" s="1838"/>
      <c r="H490" s="2543" t="s">
        <v>1277</v>
      </c>
      <c r="I490" s="2544"/>
      <c r="J490" s="2727"/>
      <c r="K490" s="2545"/>
      <c r="L490" s="2135"/>
      <c r="M490" s="2136"/>
      <c r="N490" s="2536"/>
      <c r="O490" s="2537"/>
      <c r="P490" s="2539"/>
      <c r="Q490" s="2725"/>
      <c r="R490" s="2541"/>
      <c r="S490" s="2542"/>
      <c r="T490" s="2541"/>
      <c r="U490" s="2541"/>
      <c r="V490" s="2541"/>
      <c r="W490" s="2541"/>
      <c r="X490" s="2541"/>
      <c r="Y490" s="2541"/>
      <c r="Z490" s="1836"/>
      <c r="AA490" s="1802">
        <v>1</v>
      </c>
      <c r="AB490" s="1188" t="s">
        <v>1081</v>
      </c>
      <c r="AC490" s="1178">
        <v>59656.56</v>
      </c>
      <c r="AD490" s="1188" t="str">
        <f>AB490</f>
        <v>      Амортизационные отчисления с выделением результатов переоценки основных средств и нематериальных активов</v>
      </c>
      <c r="AE490" s="1178">
        <v>36066.09</v>
      </c>
      <c r="AF490" s="2534"/>
      <c r="AG490" s="2535"/>
      <c r="AH490" s="2535"/>
      <c r="AI490" s="2724"/>
      <c r="AJ490" s="2535"/>
      <c r="AK490" s="2535"/>
      <c r="AL490" s="1994"/>
      <c r="AM490" s="1831"/>
      <c r="AN490" s="1831"/>
      <c r="AO490" s="1831"/>
      <c r="AP490" s="1831"/>
      <c r="AQ490" s="1831"/>
      <c r="AR490" s="1831"/>
      <c r="AS490" s="1831"/>
      <c r="AT490" s="1831"/>
      <c r="AU490" s="1831"/>
      <c r="AV490" s="1831"/>
      <c r="AW490" s="1831"/>
      <c r="AX490" s="1831"/>
      <c r="AY490" s="1831"/>
      <c r="AZ490" s="1831"/>
      <c r="BA490" s="1831"/>
      <c r="BB490" s="1831"/>
      <c r="BC490" s="1831"/>
      <c r="BD490" s="1831"/>
      <c r="BE490" s="1831"/>
      <c r="BF490" s="1831"/>
      <c r="BG490" s="1644"/>
    </row>
    <row customHeight="1" ht="11.25">
      <c r="A491" s="1175" t="s">
        <v>1036</v>
      </c>
      <c r="B491" s="1175"/>
      <c r="C491" s="1175"/>
      <c r="D491" s="1169"/>
      <c r="E491" s="1179"/>
      <c r="F491" s="1837"/>
      <c r="G491" s="1838"/>
      <c r="H491" s="2543" t="s">
        <v>1277</v>
      </c>
      <c r="I491" s="2544"/>
      <c r="J491" s="2727"/>
      <c r="K491" s="2545"/>
      <c r="L491" s="2135"/>
      <c r="M491" s="2136"/>
      <c r="N491" s="2536"/>
      <c r="O491" s="2537"/>
      <c r="P491" s="2540"/>
      <c r="Q491" s="2725"/>
      <c r="R491" s="2541"/>
      <c r="S491" s="2542"/>
      <c r="T491" s="2541"/>
      <c r="U491" s="2541"/>
      <c r="V491" s="2541"/>
      <c r="W491" s="2541"/>
      <c r="X491" s="2541"/>
      <c r="Y491" s="2541"/>
      <c r="Z491" s="1184"/>
      <c r="AA491" s="1185"/>
      <c r="AB491" s="1250" t="s">
        <v>1082</v>
      </c>
      <c r="AC491" s="1189"/>
      <c r="AD491" s="1189"/>
      <c r="AE491" s="1191"/>
      <c r="AF491" s="2534"/>
      <c r="AG491" s="2535"/>
      <c r="AH491" s="2535"/>
      <c r="AI491" s="2724"/>
      <c r="AJ491" s="2535"/>
      <c r="AK491" s="2535"/>
      <c r="AL491" s="1994"/>
      <c r="AM491" s="1831"/>
      <c r="AN491" s="1831"/>
      <c r="AO491" s="1831"/>
      <c r="AP491" s="1831"/>
      <c r="AQ491" s="1831"/>
      <c r="AR491" s="1831"/>
      <c r="AS491" s="1831"/>
      <c r="AT491" s="1831"/>
      <c r="AU491" s="1831"/>
      <c r="AV491" s="1831"/>
      <c r="AW491" s="1831"/>
      <c r="AX491" s="1831"/>
      <c r="AY491" s="1831"/>
      <c r="AZ491" s="1831"/>
      <c r="BA491" s="1831"/>
      <c r="BB491" s="1831"/>
      <c r="BC491" s="1831"/>
      <c r="BD491" s="1831"/>
      <c r="BE491" s="1831"/>
      <c r="BF491" s="1831"/>
      <c r="BG491" s="1644"/>
    </row>
    <row customHeight="1" ht="11.25">
      <c r="A492" s="1175" t="s">
        <v>1036</v>
      </c>
      <c r="B492" s="1175"/>
      <c r="C492" s="1175"/>
      <c r="D492" s="1169"/>
      <c r="E492" s="1179"/>
      <c r="F492" s="1837"/>
      <c r="G492" s="1838"/>
      <c r="H492" s="2543" t="s">
        <v>1277</v>
      </c>
      <c r="I492" s="2544"/>
      <c r="J492" s="2727"/>
      <c r="K492" s="2545"/>
      <c r="L492" s="2135"/>
      <c r="M492" s="2136"/>
      <c r="N492" s="1184"/>
      <c r="O492" s="1185"/>
      <c r="P492" s="1177" t="s">
        <v>1083</v>
      </c>
      <c r="Q492" s="1185"/>
      <c r="R492" s="1185"/>
      <c r="S492" s="1185"/>
      <c r="T492" s="1185"/>
      <c r="U492" s="1185"/>
      <c r="V492" s="1185"/>
      <c r="W492" s="1185"/>
      <c r="X492" s="1185"/>
      <c r="Y492" s="1185"/>
      <c r="Z492" s="1185"/>
      <c r="AA492" s="1185"/>
      <c r="AB492" s="1185"/>
      <c r="AC492" s="1185"/>
      <c r="AD492" s="1185"/>
      <c r="AE492" s="1192"/>
      <c r="AF492" s="2534"/>
      <c r="AG492" s="2535"/>
      <c r="AH492" s="2535"/>
      <c r="AI492" s="2724"/>
      <c r="AJ492" s="2535"/>
      <c r="AK492" s="2535"/>
      <c r="AL492" s="1994"/>
      <c r="AM492" s="1831"/>
      <c r="AN492" s="1831"/>
      <c r="AO492" s="1831"/>
      <c r="AP492" s="1831"/>
      <c r="AQ492" s="1831"/>
      <c r="AR492" s="1831"/>
      <c r="AS492" s="1831"/>
      <c r="AT492" s="1831"/>
      <c r="AU492" s="1831"/>
      <c r="AV492" s="1831"/>
      <c r="AW492" s="1831"/>
      <c r="AX492" s="1831"/>
      <c r="AY492" s="1831"/>
      <c r="AZ492" s="1831"/>
      <c r="BA492" s="1831"/>
      <c r="BB492" s="1831"/>
      <c r="BC492" s="1831"/>
      <c r="BD492" s="1831"/>
      <c r="BE492" s="1831"/>
      <c r="BF492" s="1831"/>
      <c r="BG492" s="1644"/>
    </row>
    <row customHeight="1" ht="11.25">
      <c r="A493" s="1175" t="s">
        <v>1036</v>
      </c>
      <c r="B493" s="1175" t="s">
        <v>22</v>
      </c>
      <c r="C493" s="1175"/>
      <c r="D493" s="1169"/>
      <c r="E493" s="1179"/>
      <c r="F493" s="1837"/>
      <c r="G493" s="692" t="s">
        <v>104</v>
      </c>
      <c r="H493" s="2543" t="s">
        <v>1282</v>
      </c>
      <c r="I493" s="2544" t="s">
        <v>1147</v>
      </c>
      <c r="J493" s="2727" t="s">
        <v>22</v>
      </c>
      <c r="K493" s="2545" t="s">
        <v>1283</v>
      </c>
      <c r="L493" s="2135" t="s">
        <v>19</v>
      </c>
      <c r="M493" s="2136"/>
      <c r="N493" s="1992"/>
      <c r="O493" s="1186" t="s">
        <v>391</v>
      </c>
      <c r="P493" s="1187"/>
      <c r="Q493" s="1187"/>
      <c r="R493" s="1187"/>
      <c r="S493" s="1187"/>
      <c r="T493" s="1187"/>
      <c r="U493" s="1187"/>
      <c r="V493" s="1187"/>
      <c r="W493" s="1187"/>
      <c r="X493" s="1187"/>
      <c r="Y493" s="1187"/>
      <c r="Z493" s="1187"/>
      <c r="AA493" s="1187"/>
      <c r="AB493" s="1187"/>
      <c r="AC493" s="1187"/>
      <c r="AD493" s="1187"/>
      <c r="AE493" s="1187"/>
      <c r="AF493" s="2534">
        <v>2</v>
      </c>
      <c r="AG493" s="2535" t="s">
        <v>1072</v>
      </c>
      <c r="AH493" s="2535" t="s">
        <v>1073</v>
      </c>
      <c r="AI493" s="2724"/>
      <c r="AJ493" s="2535" t="s">
        <v>1074</v>
      </c>
      <c r="AK493" s="2535" t="s">
        <v>1074</v>
      </c>
      <c r="AL493" s="1994"/>
      <c r="AM493" s="1831"/>
      <c r="AN493" s="1831"/>
      <c r="AO493" s="1831"/>
      <c r="AP493" s="1831"/>
      <c r="AQ493" s="1831"/>
      <c r="AR493" s="1831"/>
      <c r="AS493" s="1831"/>
      <c r="AT493" s="1831"/>
      <c r="AU493" s="1831"/>
      <c r="AV493" s="1831"/>
      <c r="AW493" s="1831"/>
      <c r="AX493" s="1831"/>
      <c r="AY493" s="1831"/>
      <c r="AZ493" s="1831"/>
      <c r="BA493" s="1831"/>
      <c r="BB493" s="1831"/>
      <c r="BC493" s="1831"/>
      <c r="BD493" s="1831"/>
      <c r="BE493" s="1831"/>
      <c r="BF493" s="1831"/>
      <c r="BG493" s="1644"/>
    </row>
    <row customHeight="1" ht="11.25">
      <c r="A494" s="1175" t="s">
        <v>1036</v>
      </c>
      <c r="B494" s="1175"/>
      <c r="C494" s="1175"/>
      <c r="D494" s="1169"/>
      <c r="E494" s="1179"/>
      <c r="F494" s="1837"/>
      <c r="G494" s="1838"/>
      <c r="H494" s="2543" t="s">
        <v>1279</v>
      </c>
      <c r="I494" s="2544"/>
      <c r="J494" s="2727"/>
      <c r="K494" s="2545"/>
      <c r="L494" s="2135"/>
      <c r="M494" s="2136"/>
      <c r="N494" s="2536"/>
      <c r="O494" s="2537">
        <v>1</v>
      </c>
      <c r="P494" s="2538" t="s">
        <v>63</v>
      </c>
      <c r="Q494" s="2725" t="s">
        <v>1256</v>
      </c>
      <c r="R494" s="2726" t="s">
        <v>1076</v>
      </c>
      <c r="S494" s="2726" t="s">
        <v>110</v>
      </c>
      <c r="T494" s="2726" t="s">
        <v>110</v>
      </c>
      <c r="U494" s="2726" t="s">
        <v>111</v>
      </c>
      <c r="V494" s="2726" t="s">
        <v>1257</v>
      </c>
      <c r="W494" s="2726" t="s">
        <v>1258</v>
      </c>
      <c r="X494" s="2726" t="s">
        <v>1259</v>
      </c>
      <c r="Y494" s="2726" t="s">
        <v>103</v>
      </c>
      <c r="Z494" s="1184"/>
      <c r="AA494" s="1185"/>
      <c r="AB494" s="1185"/>
      <c r="AC494" s="1189"/>
      <c r="AD494" s="1189"/>
      <c r="AE494" s="1190"/>
      <c r="AF494" s="2534"/>
      <c r="AG494" s="2535"/>
      <c r="AH494" s="2535"/>
      <c r="AI494" s="2724"/>
      <c r="AJ494" s="2535"/>
      <c r="AK494" s="2535"/>
      <c r="AL494" s="1994"/>
      <c r="AM494" s="1831"/>
      <c r="AN494" s="1831"/>
      <c r="AO494" s="1831"/>
      <c r="AP494" s="1831"/>
      <c r="AQ494" s="1831"/>
      <c r="AR494" s="1831"/>
      <c r="AS494" s="1831"/>
      <c r="AT494" s="1831"/>
      <c r="AU494" s="1831"/>
      <c r="AV494" s="1831"/>
      <c r="AW494" s="1831"/>
      <c r="AX494" s="1831"/>
      <c r="AY494" s="1831"/>
      <c r="AZ494" s="1831"/>
      <c r="BA494" s="1831"/>
      <c r="BB494" s="1831"/>
      <c r="BC494" s="1831"/>
      <c r="BD494" s="1831"/>
      <c r="BE494" s="1831"/>
      <c r="BF494" s="1831"/>
      <c r="BG494" s="1644"/>
    </row>
    <row customHeight="1" ht="11.25">
      <c r="A495" s="1175" t="s">
        <v>1036</v>
      </c>
      <c r="B495" s="1175"/>
      <c r="C495" s="1175"/>
      <c r="D495" s="1169"/>
      <c r="E495" s="1179"/>
      <c r="F495" s="1837"/>
      <c r="G495" s="1838"/>
      <c r="H495" s="2543" t="s">
        <v>1279</v>
      </c>
      <c r="I495" s="2544"/>
      <c r="J495" s="2727"/>
      <c r="K495" s="2545"/>
      <c r="L495" s="2135"/>
      <c r="M495" s="2136"/>
      <c r="N495" s="2536"/>
      <c r="O495" s="2537"/>
      <c r="P495" s="2539"/>
      <c r="Q495" s="2725"/>
      <c r="R495" s="2541"/>
      <c r="S495" s="2542"/>
      <c r="T495" s="2541"/>
      <c r="U495" s="2541"/>
      <c r="V495" s="2541"/>
      <c r="W495" s="2541"/>
      <c r="X495" s="2541"/>
      <c r="Y495" s="2541"/>
      <c r="Z495" s="1836"/>
      <c r="AA495" s="1802">
        <v>1</v>
      </c>
      <c r="AB495" s="1188" t="s">
        <v>1081</v>
      </c>
      <c r="AC495" s="1178">
        <v>921.67</v>
      </c>
      <c r="AD495" s="1188" t="str">
        <f>AB495</f>
        <v>      Амортизационные отчисления с выделением результатов переоценки основных средств и нематериальных активов</v>
      </c>
      <c r="AE495" s="1178">
        <v>0</v>
      </c>
      <c r="AF495" s="2534"/>
      <c r="AG495" s="2535"/>
      <c r="AH495" s="2535"/>
      <c r="AI495" s="2724"/>
      <c r="AJ495" s="2535"/>
      <c r="AK495" s="2535"/>
      <c r="AL495" s="1994"/>
      <c r="AM495" s="1831"/>
      <c r="AN495" s="1831"/>
      <c r="AO495" s="1831"/>
      <c r="AP495" s="1831"/>
      <c r="AQ495" s="1831"/>
      <c r="AR495" s="1831"/>
      <c r="AS495" s="1831"/>
      <c r="AT495" s="1831"/>
      <c r="AU495" s="1831"/>
      <c r="AV495" s="1831"/>
      <c r="AW495" s="1831"/>
      <c r="AX495" s="1831"/>
      <c r="AY495" s="1831"/>
      <c r="AZ495" s="1831"/>
      <c r="BA495" s="1831"/>
      <c r="BB495" s="1831"/>
      <c r="BC495" s="1831"/>
      <c r="BD495" s="1831"/>
      <c r="BE495" s="1831"/>
      <c r="BF495" s="1831"/>
      <c r="BG495" s="1644"/>
    </row>
    <row customHeight="1" ht="11.25">
      <c r="A496" s="1175" t="s">
        <v>1036</v>
      </c>
      <c r="B496" s="1175"/>
      <c r="C496" s="1175"/>
      <c r="D496" s="1169"/>
      <c r="E496" s="1179"/>
      <c r="F496" s="1838"/>
      <c r="G496" s="1838"/>
      <c r="H496" s="1838"/>
      <c r="I496" s="1838"/>
      <c r="J496" s="1838"/>
      <c r="K496" s="1838"/>
      <c r="L496" s="1838"/>
      <c r="M496" s="1838"/>
      <c r="N496" s="1838"/>
      <c r="O496" s="1838"/>
      <c r="P496" s="1838"/>
      <c r="Q496" s="1838"/>
      <c r="R496" s="1838"/>
      <c r="S496" s="1838"/>
      <c r="T496" s="1838"/>
      <c r="U496" s="1838"/>
      <c r="V496" s="1838"/>
      <c r="W496" s="1838"/>
      <c r="X496" s="1838"/>
      <c r="Y496" s="1838"/>
      <c r="Z496" s="692" t="s">
        <v>104</v>
      </c>
      <c r="AA496" s="1822" t="s">
        <v>103</v>
      </c>
      <c r="AB496" s="1188" t="s">
        <v>1091</v>
      </c>
      <c r="AC496" s="1178">
        <v>8295</v>
      </c>
      <c r="AD496" s="1188" t="str">
        <f>AB496</f>
        <v>  Прочие собственные средства</v>
      </c>
      <c r="AE496" s="1178">
        <v>34108.36</v>
      </c>
      <c r="AF496" s="2095"/>
      <c r="AG496" s="1767"/>
      <c r="AH496" s="1767"/>
      <c r="AI496" s="2728"/>
      <c r="AJ496" s="1767"/>
      <c r="AK496" s="1993"/>
      <c r="AL496" s="1994"/>
      <c r="AM496" s="1831"/>
      <c r="AN496" s="1831"/>
      <c r="AO496" s="1831"/>
      <c r="AP496" s="1831"/>
      <c r="AQ496" s="1831"/>
      <c r="AR496" s="1831"/>
      <c r="AS496" s="1831"/>
      <c r="AT496" s="1831"/>
      <c r="AU496" s="1831"/>
      <c r="AV496" s="1831"/>
      <c r="AW496" s="1831"/>
      <c r="AX496" s="1831"/>
      <c r="AY496" s="1831"/>
      <c r="AZ496" s="1831"/>
      <c r="BA496" s="1831"/>
      <c r="BB496" s="1831"/>
      <c r="BC496" s="1831"/>
      <c r="BD496" s="1831"/>
      <c r="BE496" s="1831"/>
      <c r="BF496" s="1831"/>
      <c r="BG496" s="1644"/>
    </row>
    <row customHeight="1" ht="11.25">
      <c r="A497" s="1175" t="s">
        <v>1036</v>
      </c>
      <c r="B497" s="1175"/>
      <c r="C497" s="1175"/>
      <c r="D497" s="1169"/>
      <c r="E497" s="1179"/>
      <c r="F497" s="1837"/>
      <c r="G497" s="1838"/>
      <c r="H497" s="2543" t="s">
        <v>1279</v>
      </c>
      <c r="I497" s="2544"/>
      <c r="J497" s="2727"/>
      <c r="K497" s="2545"/>
      <c r="L497" s="2135"/>
      <c r="M497" s="2136"/>
      <c r="N497" s="2536"/>
      <c r="O497" s="2537"/>
      <c r="P497" s="2540"/>
      <c r="Q497" s="2725"/>
      <c r="R497" s="2541"/>
      <c r="S497" s="2542"/>
      <c r="T497" s="2541"/>
      <c r="U497" s="2541"/>
      <c r="V497" s="2541"/>
      <c r="W497" s="2541"/>
      <c r="X497" s="2541"/>
      <c r="Y497" s="2541"/>
      <c r="Z497" s="1184"/>
      <c r="AA497" s="1185"/>
      <c r="AB497" s="1250" t="s">
        <v>1082</v>
      </c>
      <c r="AC497" s="1189"/>
      <c r="AD497" s="1189"/>
      <c r="AE497" s="1191"/>
      <c r="AF497" s="2534"/>
      <c r="AG497" s="2535"/>
      <c r="AH497" s="2535"/>
      <c r="AI497" s="2724"/>
      <c r="AJ497" s="2535"/>
      <c r="AK497" s="2535"/>
      <c r="AL497" s="1994"/>
      <c r="AM497" s="1831"/>
      <c r="AN497" s="1831"/>
      <c r="AO497" s="1831"/>
      <c r="AP497" s="1831"/>
      <c r="AQ497" s="1831"/>
      <c r="AR497" s="1831"/>
      <c r="AS497" s="1831"/>
      <c r="AT497" s="1831"/>
      <c r="AU497" s="1831"/>
      <c r="AV497" s="1831"/>
      <c r="AW497" s="1831"/>
      <c r="AX497" s="1831"/>
      <c r="AY497" s="1831"/>
      <c r="AZ497" s="1831"/>
      <c r="BA497" s="1831"/>
      <c r="BB497" s="1831"/>
      <c r="BC497" s="1831"/>
      <c r="BD497" s="1831"/>
      <c r="BE497" s="1831"/>
      <c r="BF497" s="1831"/>
      <c r="BG497" s="1644"/>
    </row>
    <row customHeight="1" ht="11.25">
      <c r="A498" s="1175" t="s">
        <v>1036</v>
      </c>
      <c r="B498" s="1175"/>
      <c r="C498" s="1175"/>
      <c r="D498" s="1169"/>
      <c r="E498" s="1179"/>
      <c r="F498" s="1837"/>
      <c r="G498" s="1838"/>
      <c r="H498" s="2543" t="s">
        <v>1279</v>
      </c>
      <c r="I498" s="2544"/>
      <c r="J498" s="2727"/>
      <c r="K498" s="2545"/>
      <c r="L498" s="2135"/>
      <c r="M498" s="2136"/>
      <c r="N498" s="1184"/>
      <c r="O498" s="1185"/>
      <c r="P498" s="1177" t="s">
        <v>1083</v>
      </c>
      <c r="Q498" s="1185"/>
      <c r="R498" s="1185"/>
      <c r="S498" s="1185"/>
      <c r="T498" s="1185"/>
      <c r="U498" s="1185"/>
      <c r="V498" s="1185"/>
      <c r="W498" s="1185"/>
      <c r="X498" s="1185"/>
      <c r="Y498" s="1185"/>
      <c r="Z498" s="1185"/>
      <c r="AA498" s="1185"/>
      <c r="AB498" s="1185"/>
      <c r="AC498" s="1185"/>
      <c r="AD498" s="1185"/>
      <c r="AE498" s="1192"/>
      <c r="AF498" s="2534"/>
      <c r="AG498" s="2535"/>
      <c r="AH498" s="2535"/>
      <c r="AI498" s="2724"/>
      <c r="AJ498" s="2535"/>
      <c r="AK498" s="2535"/>
      <c r="AL498" s="1994"/>
      <c r="AM498" s="1831"/>
      <c r="AN498" s="1831"/>
      <c r="AO498" s="1831"/>
      <c r="AP498" s="1831"/>
      <c r="AQ498" s="1831"/>
      <c r="AR498" s="1831"/>
      <c r="AS498" s="1831"/>
      <c r="AT498" s="1831"/>
      <c r="AU498" s="1831"/>
      <c r="AV498" s="1831"/>
      <c r="AW498" s="1831"/>
      <c r="AX498" s="1831"/>
      <c r="AY498" s="1831"/>
      <c r="AZ498" s="1831"/>
      <c r="BA498" s="1831"/>
      <c r="BB498" s="1831"/>
      <c r="BC498" s="1831"/>
      <c r="BD498" s="1831"/>
      <c r="BE498" s="1831"/>
      <c r="BF498" s="1831"/>
      <c r="BG498" s="1644"/>
    </row>
    <row customHeight="1" ht="11.25">
      <c r="A499" s="1175" t="s">
        <v>1036</v>
      </c>
      <c r="B499" s="1175" t="s">
        <v>22</v>
      </c>
      <c r="C499" s="1175"/>
      <c r="D499" s="1169"/>
      <c r="E499" s="1179"/>
      <c r="F499" s="1837"/>
      <c r="G499" s="692" t="s">
        <v>104</v>
      </c>
      <c r="H499" s="2543" t="s">
        <v>1284</v>
      </c>
      <c r="I499" s="2544" t="s">
        <v>1147</v>
      </c>
      <c r="J499" s="2727" t="s">
        <v>22</v>
      </c>
      <c r="K499" s="2545" t="s">
        <v>1285</v>
      </c>
      <c r="L499" s="2135" t="s">
        <v>19</v>
      </c>
      <c r="M499" s="2136"/>
      <c r="N499" s="1992"/>
      <c r="O499" s="1186" t="s">
        <v>391</v>
      </c>
      <c r="P499" s="1187"/>
      <c r="Q499" s="1187"/>
      <c r="R499" s="1187"/>
      <c r="S499" s="1187"/>
      <c r="T499" s="1187"/>
      <c r="U499" s="1187"/>
      <c r="V499" s="1187"/>
      <c r="W499" s="1187"/>
      <c r="X499" s="1187"/>
      <c r="Y499" s="1187"/>
      <c r="Z499" s="1187"/>
      <c r="AA499" s="1187"/>
      <c r="AB499" s="1187"/>
      <c r="AC499" s="1187"/>
      <c r="AD499" s="1187"/>
      <c r="AE499" s="1187"/>
      <c r="AF499" s="2534">
        <v>1</v>
      </c>
      <c r="AG499" s="2535" t="s">
        <v>1072</v>
      </c>
      <c r="AH499" s="2535" t="s">
        <v>1085</v>
      </c>
      <c r="AI499" s="2534">
        <v>1</v>
      </c>
      <c r="AJ499" s="2535" t="s">
        <v>1095</v>
      </c>
      <c r="AK499" s="2535" t="s">
        <v>1085</v>
      </c>
      <c r="AL499" s="1994"/>
      <c r="AM499" s="1831"/>
      <c r="AN499" s="1831"/>
      <c r="AO499" s="1831"/>
      <c r="AP499" s="1831"/>
      <c r="AQ499" s="1831"/>
      <c r="AR499" s="1831"/>
      <c r="AS499" s="1831"/>
      <c r="AT499" s="1831"/>
      <c r="AU499" s="1831"/>
      <c r="AV499" s="1831"/>
      <c r="AW499" s="1831"/>
      <c r="AX499" s="1831"/>
      <c r="AY499" s="1831"/>
      <c r="AZ499" s="1831"/>
      <c r="BA499" s="1831"/>
      <c r="BB499" s="1831"/>
      <c r="BC499" s="1831"/>
      <c r="BD499" s="1831"/>
      <c r="BE499" s="1831"/>
      <c r="BF499" s="1831"/>
      <c r="BG499" s="1644"/>
    </row>
    <row customHeight="1" ht="11.25">
      <c r="A500" s="1175" t="s">
        <v>1036</v>
      </c>
      <c r="B500" s="1175"/>
      <c r="C500" s="1175"/>
      <c r="D500" s="1169"/>
      <c r="E500" s="1179"/>
      <c r="F500" s="1837"/>
      <c r="G500" s="1838"/>
      <c r="H500" s="2543" t="s">
        <v>1282</v>
      </c>
      <c r="I500" s="2544"/>
      <c r="J500" s="2727"/>
      <c r="K500" s="2545"/>
      <c r="L500" s="2135"/>
      <c r="M500" s="2136"/>
      <c r="N500" s="2536"/>
      <c r="O500" s="2537">
        <v>1</v>
      </c>
      <c r="P500" s="2538" t="s">
        <v>19</v>
      </c>
      <c r="Q500" s="2541" t="s">
        <v>22</v>
      </c>
      <c r="R500" s="2541" t="s">
        <v>22</v>
      </c>
      <c r="S500" s="2541" t="s">
        <v>22</v>
      </c>
      <c r="T500" s="2541" t="s">
        <v>22</v>
      </c>
      <c r="U500" s="2541" t="s">
        <v>22</v>
      </c>
      <c r="V500" s="2541" t="s">
        <v>22</v>
      </c>
      <c r="W500" s="2541" t="s">
        <v>22</v>
      </c>
      <c r="X500" s="2541" t="s">
        <v>22</v>
      </c>
      <c r="Y500" s="2541"/>
      <c r="Z500" s="1184"/>
      <c r="AA500" s="1185"/>
      <c r="AB500" s="1185"/>
      <c r="AC500" s="1189"/>
      <c r="AD500" s="1189"/>
      <c r="AE500" s="1190"/>
      <c r="AF500" s="2534"/>
      <c r="AG500" s="2535"/>
      <c r="AH500" s="2535"/>
      <c r="AI500" s="2534"/>
      <c r="AJ500" s="2535"/>
      <c r="AK500" s="2535"/>
      <c r="AL500" s="1994"/>
      <c r="AM500" s="1831"/>
      <c r="AN500" s="1831"/>
      <c r="AO500" s="1831"/>
      <c r="AP500" s="1831"/>
      <c r="AQ500" s="1831"/>
      <c r="AR500" s="1831"/>
      <c r="AS500" s="1831"/>
      <c r="AT500" s="1831"/>
      <c r="AU500" s="1831"/>
      <c r="AV500" s="1831"/>
      <c r="AW500" s="1831"/>
      <c r="AX500" s="1831"/>
      <c r="AY500" s="1831"/>
      <c r="AZ500" s="1831"/>
      <c r="BA500" s="1831"/>
      <c r="BB500" s="1831"/>
      <c r="BC500" s="1831"/>
      <c r="BD500" s="1831"/>
      <c r="BE500" s="1831"/>
      <c r="BF500" s="1831"/>
      <c r="BG500" s="1644"/>
    </row>
    <row customHeight="1" ht="11.25">
      <c r="A501" s="1175" t="s">
        <v>1036</v>
      </c>
      <c r="B501" s="1175"/>
      <c r="C501" s="1175"/>
      <c r="D501" s="1169"/>
      <c r="E501" s="1179"/>
      <c r="F501" s="1837"/>
      <c r="G501" s="1838"/>
      <c r="H501" s="2543" t="s">
        <v>1282</v>
      </c>
      <c r="I501" s="2544"/>
      <c r="J501" s="2727"/>
      <c r="K501" s="2545"/>
      <c r="L501" s="2135"/>
      <c r="M501" s="2136"/>
      <c r="N501" s="2536"/>
      <c r="O501" s="2537"/>
      <c r="P501" s="2539"/>
      <c r="Q501" s="2541"/>
      <c r="R501" s="2541"/>
      <c r="S501" s="2542"/>
      <c r="T501" s="2541"/>
      <c r="U501" s="2541"/>
      <c r="V501" s="2541"/>
      <c r="W501" s="2541"/>
      <c r="X501" s="2541"/>
      <c r="Y501" s="2541"/>
      <c r="Z501" s="1836"/>
      <c r="AA501" s="1802">
        <v>1</v>
      </c>
      <c r="AB501" s="1188" t="s">
        <v>1081</v>
      </c>
      <c r="AC501" s="1178">
        <v>7.42</v>
      </c>
      <c r="AD501" s="1188" t="str">
        <f>AB501</f>
        <v>      Амортизационные отчисления с выделением результатов переоценки основных средств и нематериальных активов</v>
      </c>
      <c r="AE501" s="1178">
        <v>7.42</v>
      </c>
      <c r="AF501" s="2534"/>
      <c r="AG501" s="2535"/>
      <c r="AH501" s="2535"/>
      <c r="AI501" s="2534"/>
      <c r="AJ501" s="2535"/>
      <c r="AK501" s="2535"/>
      <c r="AL501" s="1994"/>
      <c r="AM501" s="1831"/>
      <c r="AN501" s="1831"/>
      <c r="AO501" s="1831"/>
      <c r="AP501" s="1831"/>
      <c r="AQ501" s="1831"/>
      <c r="AR501" s="1831"/>
      <c r="AS501" s="1831"/>
      <c r="AT501" s="1831"/>
      <c r="AU501" s="1831"/>
      <c r="AV501" s="1831"/>
      <c r="AW501" s="1831"/>
      <c r="AX501" s="1831"/>
      <c r="AY501" s="1831"/>
      <c r="AZ501" s="1831"/>
      <c r="BA501" s="1831"/>
      <c r="BB501" s="1831"/>
      <c r="BC501" s="1831"/>
      <c r="BD501" s="1831"/>
      <c r="BE501" s="1831"/>
      <c r="BF501" s="1831"/>
      <c r="BG501" s="1644"/>
    </row>
    <row customHeight="1" ht="11.25">
      <c r="A502" s="1175" t="s">
        <v>1036</v>
      </c>
      <c r="B502" s="1175"/>
      <c r="C502" s="1175"/>
      <c r="D502" s="1169"/>
      <c r="E502" s="1179"/>
      <c r="F502" s="1838"/>
      <c r="G502" s="1838"/>
      <c r="H502" s="1838"/>
      <c r="I502" s="1838"/>
      <c r="J502" s="1838"/>
      <c r="K502" s="1838"/>
      <c r="L502" s="1838"/>
      <c r="M502" s="1838"/>
      <c r="N502" s="1838"/>
      <c r="O502" s="1838"/>
      <c r="P502" s="1838"/>
      <c r="Q502" s="1838"/>
      <c r="R502" s="1838"/>
      <c r="S502" s="1838"/>
      <c r="T502" s="1838"/>
      <c r="U502" s="1838"/>
      <c r="V502" s="1838"/>
      <c r="W502" s="1838"/>
      <c r="X502" s="1838"/>
      <c r="Y502" s="1838"/>
      <c r="Z502" s="692" t="s">
        <v>104</v>
      </c>
      <c r="AA502" s="1822" t="s">
        <v>103</v>
      </c>
      <c r="AB502" s="1188" t="s">
        <v>1091</v>
      </c>
      <c r="AC502" s="1178">
        <v>66.79</v>
      </c>
      <c r="AD502" s="1188" t="str">
        <f>AB502</f>
        <v>  Прочие собственные средства</v>
      </c>
      <c r="AE502" s="1178">
        <v>43.39</v>
      </c>
      <c r="AF502" s="2095"/>
      <c r="AG502" s="1767"/>
      <c r="AH502" s="1767"/>
      <c r="AI502" s="2095"/>
      <c r="AJ502" s="1767"/>
      <c r="AK502" s="1993"/>
      <c r="AL502" s="1994"/>
      <c r="AM502" s="1831"/>
      <c r="AN502" s="1831"/>
      <c r="AO502" s="1831"/>
      <c r="AP502" s="1831"/>
      <c r="AQ502" s="1831"/>
      <c r="AR502" s="1831"/>
      <c r="AS502" s="1831"/>
      <c r="AT502" s="1831"/>
      <c r="AU502" s="1831"/>
      <c r="AV502" s="1831"/>
      <c r="AW502" s="1831"/>
      <c r="AX502" s="1831"/>
      <c r="AY502" s="1831"/>
      <c r="AZ502" s="1831"/>
      <c r="BA502" s="1831"/>
      <c r="BB502" s="1831"/>
      <c r="BC502" s="1831"/>
      <c r="BD502" s="1831"/>
      <c r="BE502" s="1831"/>
      <c r="BF502" s="1831"/>
      <c r="BG502" s="1644"/>
    </row>
    <row customHeight="1" ht="11.25">
      <c r="A503" s="1175" t="s">
        <v>1036</v>
      </c>
      <c r="B503" s="1175"/>
      <c r="C503" s="1175"/>
      <c r="D503" s="1169"/>
      <c r="E503" s="1179"/>
      <c r="F503" s="1837"/>
      <c r="G503" s="1838"/>
      <c r="H503" s="2543" t="s">
        <v>1282</v>
      </c>
      <c r="I503" s="2544"/>
      <c r="J503" s="2727"/>
      <c r="K503" s="2545"/>
      <c r="L503" s="2135"/>
      <c r="M503" s="2136"/>
      <c r="N503" s="2536"/>
      <c r="O503" s="2537"/>
      <c r="P503" s="2540"/>
      <c r="Q503" s="2541"/>
      <c r="R503" s="2541"/>
      <c r="S503" s="2542"/>
      <c r="T503" s="2541"/>
      <c r="U503" s="2541"/>
      <c r="V503" s="2541"/>
      <c r="W503" s="2541"/>
      <c r="X503" s="2541"/>
      <c r="Y503" s="2541"/>
      <c r="Z503" s="1184"/>
      <c r="AA503" s="1185"/>
      <c r="AB503" s="1250" t="s">
        <v>1082</v>
      </c>
      <c r="AC503" s="1189"/>
      <c r="AD503" s="1189"/>
      <c r="AE503" s="1191"/>
      <c r="AF503" s="2534"/>
      <c r="AG503" s="2535"/>
      <c r="AH503" s="2535"/>
      <c r="AI503" s="2534"/>
      <c r="AJ503" s="2535"/>
      <c r="AK503" s="2535"/>
      <c r="AL503" s="1994"/>
      <c r="AM503" s="1831"/>
      <c r="AN503" s="1831"/>
      <c r="AO503" s="1831"/>
      <c r="AP503" s="1831"/>
      <c r="AQ503" s="1831"/>
      <c r="AR503" s="1831"/>
      <c r="AS503" s="1831"/>
      <c r="AT503" s="1831"/>
      <c r="AU503" s="1831"/>
      <c r="AV503" s="1831"/>
      <c r="AW503" s="1831"/>
      <c r="AX503" s="1831"/>
      <c r="AY503" s="1831"/>
      <c r="AZ503" s="1831"/>
      <c r="BA503" s="1831"/>
      <c r="BB503" s="1831"/>
      <c r="BC503" s="1831"/>
      <c r="BD503" s="1831"/>
      <c r="BE503" s="1831"/>
      <c r="BF503" s="1831"/>
      <c r="BG503" s="1644"/>
    </row>
    <row customHeight="1" ht="11.25">
      <c r="A504" s="1175" t="s">
        <v>1036</v>
      </c>
      <c r="B504" s="1175"/>
      <c r="C504" s="1175"/>
      <c r="D504" s="1169"/>
      <c r="E504" s="1179"/>
      <c r="F504" s="1837"/>
      <c r="G504" s="1838"/>
      <c r="H504" s="2543" t="s">
        <v>1282</v>
      </c>
      <c r="I504" s="2544"/>
      <c r="J504" s="2727"/>
      <c r="K504" s="2545"/>
      <c r="L504" s="2135"/>
      <c r="M504" s="2136"/>
      <c r="N504" s="1184"/>
      <c r="O504" s="1185"/>
      <c r="P504" s="1177" t="s">
        <v>1083</v>
      </c>
      <c r="Q504" s="1185"/>
      <c r="R504" s="1185"/>
      <c r="S504" s="1185"/>
      <c r="T504" s="1185"/>
      <c r="U504" s="1185"/>
      <c r="V504" s="1185"/>
      <c r="W504" s="1185"/>
      <c r="X504" s="1185"/>
      <c r="Y504" s="1185"/>
      <c r="Z504" s="1185"/>
      <c r="AA504" s="1185"/>
      <c r="AB504" s="1185"/>
      <c r="AC504" s="1185"/>
      <c r="AD504" s="1185"/>
      <c r="AE504" s="1192"/>
      <c r="AF504" s="2534"/>
      <c r="AG504" s="2535"/>
      <c r="AH504" s="2535"/>
      <c r="AI504" s="2534"/>
      <c r="AJ504" s="2535"/>
      <c r="AK504" s="2535"/>
      <c r="AL504" s="1994"/>
      <c r="AM504" s="1831"/>
      <c r="AN504" s="1831"/>
      <c r="AO504" s="1831"/>
      <c r="AP504" s="1831"/>
      <c r="AQ504" s="1831"/>
      <c r="AR504" s="1831"/>
      <c r="AS504" s="1831"/>
      <c r="AT504" s="1831"/>
      <c r="AU504" s="1831"/>
      <c r="AV504" s="1831"/>
      <c r="AW504" s="1831"/>
      <c r="AX504" s="1831"/>
      <c r="AY504" s="1831"/>
      <c r="AZ504" s="1831"/>
      <c r="BA504" s="1831"/>
      <c r="BB504" s="1831"/>
      <c r="BC504" s="1831"/>
      <c r="BD504" s="1831"/>
      <c r="BE504" s="1831"/>
      <c r="BF504" s="1831"/>
      <c r="BG504" s="1644"/>
    </row>
    <row customHeight="1" ht="11.25">
      <c r="A505" s="1175" t="s">
        <v>1036</v>
      </c>
      <c r="B505" s="1175" t="s">
        <v>22</v>
      </c>
      <c r="C505" s="1175"/>
      <c r="D505" s="1169"/>
      <c r="E505" s="1179"/>
      <c r="F505" s="1837"/>
      <c r="G505" s="692" t="s">
        <v>104</v>
      </c>
      <c r="H505" s="2543" t="s">
        <v>1286</v>
      </c>
      <c r="I505" s="2544" t="s">
        <v>1137</v>
      </c>
      <c r="J505" s="2727" t="s">
        <v>22</v>
      </c>
      <c r="K505" s="2545" t="s">
        <v>1287</v>
      </c>
      <c r="L505" s="2135" t="s">
        <v>19</v>
      </c>
      <c r="M505" s="2136"/>
      <c r="N505" s="1992"/>
      <c r="O505" s="1186" t="s">
        <v>391</v>
      </c>
      <c r="P505" s="1187"/>
      <c r="Q505" s="1187"/>
      <c r="R505" s="1187"/>
      <c r="S505" s="1187"/>
      <c r="T505" s="1187"/>
      <c r="U505" s="1187"/>
      <c r="V505" s="1187"/>
      <c r="W505" s="1187"/>
      <c r="X505" s="1187"/>
      <c r="Y505" s="1187"/>
      <c r="Z505" s="1187"/>
      <c r="AA505" s="1187"/>
      <c r="AB505" s="1187"/>
      <c r="AC505" s="1187"/>
      <c r="AD505" s="1187"/>
      <c r="AE505" s="1187"/>
      <c r="AF505" s="2534">
        <v>5</v>
      </c>
      <c r="AG505" s="2535" t="s">
        <v>1072</v>
      </c>
      <c r="AH505" s="2535" t="s">
        <v>1163</v>
      </c>
      <c r="AI505" s="2906">
        <v>1</v>
      </c>
      <c r="AJ505" s="2535" t="s">
        <v>1072</v>
      </c>
      <c r="AK505" s="2535" t="s">
        <v>1085</v>
      </c>
      <c r="AL505" s="1994"/>
      <c r="AM505" s="1831"/>
      <c r="AN505" s="1831"/>
      <c r="AO505" s="1831"/>
      <c r="AP505" s="1831"/>
      <c r="AQ505" s="1831"/>
      <c r="AR505" s="1831"/>
      <c r="AS505" s="1831"/>
      <c r="AT505" s="1831"/>
      <c r="AU505" s="1831"/>
      <c r="AV505" s="1831"/>
      <c r="AW505" s="1831"/>
      <c r="AX505" s="1831"/>
      <c r="AY505" s="1831"/>
      <c r="AZ505" s="1831"/>
      <c r="BA505" s="1831"/>
      <c r="BB505" s="1831"/>
      <c r="BC505" s="1831"/>
      <c r="BD505" s="1831"/>
      <c r="BE505" s="1831"/>
      <c r="BF505" s="1831"/>
      <c r="BG505" s="1644"/>
    </row>
    <row customHeight="1" ht="11.25">
      <c r="A506" s="1175" t="s">
        <v>1036</v>
      </c>
      <c r="B506" s="1175"/>
      <c r="C506" s="1175"/>
      <c r="D506" s="1169"/>
      <c r="E506" s="1179"/>
      <c r="F506" s="1837"/>
      <c r="G506" s="1838"/>
      <c r="H506" s="2543" t="s">
        <v>1284</v>
      </c>
      <c r="I506" s="2544"/>
      <c r="J506" s="2727"/>
      <c r="K506" s="2545"/>
      <c r="L506" s="2135"/>
      <c r="M506" s="2136"/>
      <c r="N506" s="2536"/>
      <c r="O506" s="2537">
        <v>1</v>
      </c>
      <c r="P506" s="2538" t="s">
        <v>63</v>
      </c>
      <c r="Q506" s="2725" t="s">
        <v>1106</v>
      </c>
      <c r="R506" s="2726" t="s">
        <v>1076</v>
      </c>
      <c r="S506" s="2726" t="s">
        <v>100</v>
      </c>
      <c r="T506" s="2726" t="s">
        <v>100</v>
      </c>
      <c r="U506" s="2726" t="s">
        <v>101</v>
      </c>
      <c r="V506" s="2726" t="s">
        <v>1107</v>
      </c>
      <c r="W506" s="2726" t="s">
        <v>1108</v>
      </c>
      <c r="X506" s="2726" t="s">
        <v>1109</v>
      </c>
      <c r="Y506" s="2726" t="s">
        <v>1110</v>
      </c>
      <c r="Z506" s="1184"/>
      <c r="AA506" s="1185"/>
      <c r="AB506" s="1185"/>
      <c r="AC506" s="1189"/>
      <c r="AD506" s="1189"/>
      <c r="AE506" s="1190"/>
      <c r="AF506" s="2534"/>
      <c r="AG506" s="2535"/>
      <c r="AH506" s="2535"/>
      <c r="AI506" s="2906"/>
      <c r="AJ506" s="2535"/>
      <c r="AK506" s="2535"/>
      <c r="AL506" s="1994"/>
      <c r="AM506" s="1831"/>
      <c r="AN506" s="1831"/>
      <c r="AO506" s="1831"/>
      <c r="AP506" s="1831"/>
      <c r="AQ506" s="1831"/>
      <c r="AR506" s="1831"/>
      <c r="AS506" s="1831"/>
      <c r="AT506" s="1831"/>
      <c r="AU506" s="1831"/>
      <c r="AV506" s="1831"/>
      <c r="AW506" s="1831"/>
      <c r="AX506" s="1831"/>
      <c r="AY506" s="1831"/>
      <c r="AZ506" s="1831"/>
      <c r="BA506" s="1831"/>
      <c r="BB506" s="1831"/>
      <c r="BC506" s="1831"/>
      <c r="BD506" s="1831"/>
      <c r="BE506" s="1831"/>
      <c r="BF506" s="1831"/>
      <c r="BG506" s="1644"/>
    </row>
    <row customHeight="1" ht="11.25">
      <c r="A507" s="1175" t="s">
        <v>1036</v>
      </c>
      <c r="B507" s="1175"/>
      <c r="C507" s="1175"/>
      <c r="D507" s="1169"/>
      <c r="E507" s="1179"/>
      <c r="F507" s="1837"/>
      <c r="G507" s="1838"/>
      <c r="H507" s="2543" t="s">
        <v>1284</v>
      </c>
      <c r="I507" s="2544"/>
      <c r="J507" s="2727"/>
      <c r="K507" s="2545"/>
      <c r="L507" s="2135"/>
      <c r="M507" s="2136"/>
      <c r="N507" s="2536"/>
      <c r="O507" s="2537"/>
      <c r="P507" s="2539"/>
      <c r="Q507" s="2725"/>
      <c r="R507" s="2541"/>
      <c r="S507" s="2542"/>
      <c r="T507" s="2541"/>
      <c r="U507" s="2541"/>
      <c r="V507" s="2541"/>
      <c r="W507" s="2541"/>
      <c r="X507" s="2541"/>
      <c r="Y507" s="2541"/>
      <c r="Z507" s="1836"/>
      <c r="AA507" s="1802">
        <v>1</v>
      </c>
      <c r="AB507" s="1188" t="s">
        <v>1125</v>
      </c>
      <c r="AC507" s="1178">
        <v>17502.64</v>
      </c>
      <c r="AD507" s="1188" t="str">
        <f>AB507</f>
        <v>  Прочие</v>
      </c>
      <c r="AE507" s="1178">
        <v>16318.21</v>
      </c>
      <c r="AF507" s="2534"/>
      <c r="AG507" s="2535"/>
      <c r="AH507" s="2535"/>
      <c r="AI507" s="2906"/>
      <c r="AJ507" s="2535"/>
      <c r="AK507" s="2535"/>
      <c r="AL507" s="1994"/>
      <c r="AM507" s="1831"/>
      <c r="AN507" s="1831"/>
      <c r="AO507" s="1831"/>
      <c r="AP507" s="1831"/>
      <c r="AQ507" s="1831"/>
      <c r="AR507" s="1831"/>
      <c r="AS507" s="1831"/>
      <c r="AT507" s="1831"/>
      <c r="AU507" s="1831"/>
      <c r="AV507" s="1831"/>
      <c r="AW507" s="1831"/>
      <c r="AX507" s="1831"/>
      <c r="AY507" s="1831"/>
      <c r="AZ507" s="1831"/>
      <c r="BA507" s="1831"/>
      <c r="BB507" s="1831"/>
      <c r="BC507" s="1831"/>
      <c r="BD507" s="1831"/>
      <c r="BE507" s="1831"/>
      <c r="BF507" s="1831"/>
      <c r="BG507" s="1644"/>
    </row>
    <row customHeight="1" ht="11.25">
      <c r="A508" s="1175" t="s">
        <v>1036</v>
      </c>
      <c r="B508" s="1175"/>
      <c r="C508" s="1175"/>
      <c r="D508" s="1169"/>
      <c r="E508" s="1179"/>
      <c r="F508" s="1837"/>
      <c r="G508" s="1838"/>
      <c r="H508" s="2543" t="s">
        <v>1284</v>
      </c>
      <c r="I508" s="2544"/>
      <c r="J508" s="2727"/>
      <c r="K508" s="2545"/>
      <c r="L508" s="2135"/>
      <c r="M508" s="2136"/>
      <c r="N508" s="2536"/>
      <c r="O508" s="2537"/>
      <c r="P508" s="2540"/>
      <c r="Q508" s="2725"/>
      <c r="R508" s="2541"/>
      <c r="S508" s="2542"/>
      <c r="T508" s="2541"/>
      <c r="U508" s="2541"/>
      <c r="V508" s="2541"/>
      <c r="W508" s="2541"/>
      <c r="X508" s="2541"/>
      <c r="Y508" s="2541"/>
      <c r="Z508" s="1184"/>
      <c r="AA508" s="1185"/>
      <c r="AB508" s="1250" t="s">
        <v>1082</v>
      </c>
      <c r="AC508" s="1189"/>
      <c r="AD508" s="1189"/>
      <c r="AE508" s="1191"/>
      <c r="AF508" s="2534"/>
      <c r="AG508" s="2535"/>
      <c r="AH508" s="2535"/>
      <c r="AI508" s="2906"/>
      <c r="AJ508" s="2535"/>
      <c r="AK508" s="2535"/>
      <c r="AL508" s="1994"/>
      <c r="AM508" s="1831"/>
      <c r="AN508" s="1831"/>
      <c r="AO508" s="1831"/>
      <c r="AP508" s="1831"/>
      <c r="AQ508" s="1831"/>
      <c r="AR508" s="1831"/>
      <c r="AS508" s="1831"/>
      <c r="AT508" s="1831"/>
      <c r="AU508" s="1831"/>
      <c r="AV508" s="1831"/>
      <c r="AW508" s="1831"/>
      <c r="AX508" s="1831"/>
      <c r="AY508" s="1831"/>
      <c r="AZ508" s="1831"/>
      <c r="BA508" s="1831"/>
      <c r="BB508" s="1831"/>
      <c r="BC508" s="1831"/>
      <c r="BD508" s="1831"/>
      <c r="BE508" s="1831"/>
      <c r="BF508" s="1831"/>
      <c r="BG508" s="1644"/>
    </row>
    <row customHeight="1" ht="11.25">
      <c r="A509" s="1175" t="s">
        <v>1036</v>
      </c>
      <c r="B509" s="1175"/>
      <c r="C509" s="1175"/>
      <c r="D509" s="1169"/>
      <c r="E509" s="1179"/>
      <c r="F509" s="1837"/>
      <c r="G509" s="1838"/>
      <c r="H509" s="2543" t="s">
        <v>1284</v>
      </c>
      <c r="I509" s="2544"/>
      <c r="J509" s="2727"/>
      <c r="K509" s="2545"/>
      <c r="L509" s="2135"/>
      <c r="M509" s="2136"/>
      <c r="N509" s="1184"/>
      <c r="O509" s="1185"/>
      <c r="P509" s="1177" t="s">
        <v>1083</v>
      </c>
      <c r="Q509" s="1185"/>
      <c r="R509" s="1185"/>
      <c r="S509" s="1185"/>
      <c r="T509" s="1185"/>
      <c r="U509" s="1185"/>
      <c r="V509" s="1185"/>
      <c r="W509" s="1185"/>
      <c r="X509" s="1185"/>
      <c r="Y509" s="1185"/>
      <c r="Z509" s="1185"/>
      <c r="AA509" s="1185"/>
      <c r="AB509" s="1185"/>
      <c r="AC509" s="1185"/>
      <c r="AD509" s="1185"/>
      <c r="AE509" s="1192"/>
      <c r="AF509" s="2534"/>
      <c r="AG509" s="2535"/>
      <c r="AH509" s="2535"/>
      <c r="AI509" s="2906"/>
      <c r="AJ509" s="2535"/>
      <c r="AK509" s="2535"/>
      <c r="AL509" s="1994"/>
      <c r="AM509" s="1831"/>
      <c r="AN509" s="1831"/>
      <c r="AO509" s="1831"/>
      <c r="AP509" s="1831"/>
      <c r="AQ509" s="1831"/>
      <c r="AR509" s="1831"/>
      <c r="AS509" s="1831"/>
      <c r="AT509" s="1831"/>
      <c r="AU509" s="1831"/>
      <c r="AV509" s="1831"/>
      <c r="AW509" s="1831"/>
      <c r="AX509" s="1831"/>
      <c r="AY509" s="1831"/>
      <c r="AZ509" s="1831"/>
      <c r="BA509" s="1831"/>
      <c r="BB509" s="1831"/>
      <c r="BC509" s="1831"/>
      <c r="BD509" s="1831"/>
      <c r="BE509" s="1831"/>
      <c r="BF509" s="1831"/>
      <c r="BG509" s="1644"/>
    </row>
    <row customHeight="1" ht="11.25">
      <c r="A510" s="1175" t="s">
        <v>1036</v>
      </c>
      <c r="B510" s="1175" t="s">
        <v>22</v>
      </c>
      <c r="C510" s="1175"/>
      <c r="D510" s="1169"/>
      <c r="E510" s="1179"/>
      <c r="F510" s="1837"/>
      <c r="G510" s="692" t="s">
        <v>104</v>
      </c>
      <c r="H510" s="2543" t="s">
        <v>1288</v>
      </c>
      <c r="I510" s="2544" t="s">
        <v>1147</v>
      </c>
      <c r="J510" s="2727" t="s">
        <v>22</v>
      </c>
      <c r="K510" s="2545" t="s">
        <v>1289</v>
      </c>
      <c r="L510" s="2135" t="s">
        <v>19</v>
      </c>
      <c r="M510" s="2136"/>
      <c r="N510" s="1992"/>
      <c r="O510" s="1186" t="s">
        <v>391</v>
      </c>
      <c r="P510" s="1187"/>
      <c r="Q510" s="1187"/>
      <c r="R510" s="1187"/>
      <c r="S510" s="1187"/>
      <c r="T510" s="1187"/>
      <c r="U510" s="1187"/>
      <c r="V510" s="1187"/>
      <c r="W510" s="1187"/>
      <c r="X510" s="1187"/>
      <c r="Y510" s="1187"/>
      <c r="Z510" s="1187"/>
      <c r="AA510" s="1187"/>
      <c r="AB510" s="1187"/>
      <c r="AC510" s="1187"/>
      <c r="AD510" s="1187"/>
      <c r="AE510" s="1187"/>
      <c r="AF510" s="2534">
        <v>1</v>
      </c>
      <c r="AG510" s="2535" t="s">
        <v>1072</v>
      </c>
      <c r="AH510" s="2535" t="s">
        <v>1085</v>
      </c>
      <c r="AI510" s="2534">
        <v>1</v>
      </c>
      <c r="AJ510" s="2535" t="s">
        <v>1094</v>
      </c>
      <c r="AK510" s="2535" t="s">
        <v>1085</v>
      </c>
      <c r="AL510" s="1994"/>
      <c r="AM510" s="1831"/>
      <c r="AN510" s="1831"/>
      <c r="AO510" s="1831"/>
      <c r="AP510" s="1831"/>
      <c r="AQ510" s="1831"/>
      <c r="AR510" s="1831"/>
      <c r="AS510" s="1831"/>
      <c r="AT510" s="1831"/>
      <c r="AU510" s="1831"/>
      <c r="AV510" s="1831"/>
      <c r="AW510" s="1831"/>
      <c r="AX510" s="1831"/>
      <c r="AY510" s="1831"/>
      <c r="AZ510" s="1831"/>
      <c r="BA510" s="1831"/>
      <c r="BB510" s="1831"/>
      <c r="BC510" s="1831"/>
      <c r="BD510" s="1831"/>
      <c r="BE510" s="1831"/>
      <c r="BF510" s="1831"/>
      <c r="BG510" s="1644"/>
    </row>
    <row customHeight="1" ht="11.25">
      <c r="A511" s="1175" t="s">
        <v>1036</v>
      </c>
      <c r="B511" s="1175"/>
      <c r="C511" s="1175"/>
      <c r="D511" s="1169"/>
      <c r="E511" s="1179"/>
      <c r="F511" s="1837"/>
      <c r="G511" s="1838"/>
      <c r="H511" s="2543" t="s">
        <v>1286</v>
      </c>
      <c r="I511" s="2544"/>
      <c r="J511" s="2727"/>
      <c r="K511" s="2545"/>
      <c r="L511" s="2135"/>
      <c r="M511" s="2136"/>
      <c r="N511" s="2536"/>
      <c r="O511" s="2537">
        <v>1</v>
      </c>
      <c r="P511" s="2538" t="s">
        <v>63</v>
      </c>
      <c r="Q511" s="2725" t="s">
        <v>1106</v>
      </c>
      <c r="R511" s="2726" t="s">
        <v>1076</v>
      </c>
      <c r="S511" s="2726" t="s">
        <v>100</v>
      </c>
      <c r="T511" s="2726" t="s">
        <v>100</v>
      </c>
      <c r="U511" s="2726" t="s">
        <v>101</v>
      </c>
      <c r="V511" s="2726" t="s">
        <v>1107</v>
      </c>
      <c r="W511" s="2726" t="s">
        <v>1108</v>
      </c>
      <c r="X511" s="2726" t="s">
        <v>1109</v>
      </c>
      <c r="Y511" s="2726" t="s">
        <v>1110</v>
      </c>
      <c r="Z511" s="1184"/>
      <c r="AA511" s="1185"/>
      <c r="AB511" s="1185"/>
      <c r="AC511" s="1189"/>
      <c r="AD511" s="1189"/>
      <c r="AE511" s="1190"/>
      <c r="AF511" s="2534"/>
      <c r="AG511" s="2535"/>
      <c r="AH511" s="2535"/>
      <c r="AI511" s="2534"/>
      <c r="AJ511" s="2535"/>
      <c r="AK511" s="2535"/>
      <c r="AL511" s="1994"/>
      <c r="AM511" s="1831"/>
      <c r="AN511" s="1831"/>
      <c r="AO511" s="1831"/>
      <c r="AP511" s="1831"/>
      <c r="AQ511" s="1831"/>
      <c r="AR511" s="1831"/>
      <c r="AS511" s="1831"/>
      <c r="AT511" s="1831"/>
      <c r="AU511" s="1831"/>
      <c r="AV511" s="1831"/>
      <c r="AW511" s="1831"/>
      <c r="AX511" s="1831"/>
      <c r="AY511" s="1831"/>
      <c r="AZ511" s="1831"/>
      <c r="BA511" s="1831"/>
      <c r="BB511" s="1831"/>
      <c r="BC511" s="1831"/>
      <c r="BD511" s="1831"/>
      <c r="BE511" s="1831"/>
      <c r="BF511" s="1831"/>
      <c r="BG511" s="1644"/>
    </row>
    <row customHeight="1" ht="11.25">
      <c r="A512" s="1175" t="s">
        <v>1036</v>
      </c>
      <c r="B512" s="1175"/>
      <c r="C512" s="1175"/>
      <c r="D512" s="1169"/>
      <c r="E512" s="1179"/>
      <c r="F512" s="1837"/>
      <c r="G512" s="1838"/>
      <c r="H512" s="2543" t="s">
        <v>1286</v>
      </c>
      <c r="I512" s="2544"/>
      <c r="J512" s="2727"/>
      <c r="K512" s="2545"/>
      <c r="L512" s="2135"/>
      <c r="M512" s="2136"/>
      <c r="N512" s="2536"/>
      <c r="O512" s="2537"/>
      <c r="P512" s="2539"/>
      <c r="Q512" s="2725"/>
      <c r="R512" s="2541"/>
      <c r="S512" s="2542"/>
      <c r="T512" s="2541"/>
      <c r="U512" s="2541"/>
      <c r="V512" s="2541"/>
      <c r="W512" s="2541"/>
      <c r="X512" s="2541"/>
      <c r="Y512" s="2541"/>
      <c r="Z512" s="1836"/>
      <c r="AA512" s="1802">
        <v>1</v>
      </c>
      <c r="AB512" s="1188" t="s">
        <v>1270</v>
      </c>
      <c r="AC512" s="1178">
        <v>39122.88</v>
      </c>
      <c r="AD512" s="1188" t="str">
        <f>AB512</f>
        <v>      Прочие займы</v>
      </c>
      <c r="AE512" s="1178">
        <v>36611.39</v>
      </c>
      <c r="AF512" s="2534"/>
      <c r="AG512" s="2535"/>
      <c r="AH512" s="2535"/>
      <c r="AI512" s="2534"/>
      <c r="AJ512" s="2535"/>
      <c r="AK512" s="2535"/>
      <c r="AL512" s="1994"/>
      <c r="AM512" s="1831"/>
      <c r="AN512" s="1831"/>
      <c r="AO512" s="1831"/>
      <c r="AP512" s="1831"/>
      <c r="AQ512" s="1831"/>
      <c r="AR512" s="1831"/>
      <c r="AS512" s="1831"/>
      <c r="AT512" s="1831"/>
      <c r="AU512" s="1831"/>
      <c r="AV512" s="1831"/>
      <c r="AW512" s="1831"/>
      <c r="AX512" s="1831"/>
      <c r="AY512" s="1831"/>
      <c r="AZ512" s="1831"/>
      <c r="BA512" s="1831"/>
      <c r="BB512" s="1831"/>
      <c r="BC512" s="1831"/>
      <c r="BD512" s="1831"/>
      <c r="BE512" s="1831"/>
      <c r="BF512" s="1831"/>
      <c r="BG512" s="1644"/>
    </row>
    <row customHeight="1" ht="11.25">
      <c r="A513" s="1175" t="s">
        <v>1036</v>
      </c>
      <c r="B513" s="1175"/>
      <c r="C513" s="1175"/>
      <c r="D513" s="1169"/>
      <c r="E513" s="1179"/>
      <c r="F513" s="1838"/>
      <c r="G513" s="1838"/>
      <c r="H513" s="1838"/>
      <c r="I513" s="1838"/>
      <c r="J513" s="1838"/>
      <c r="K513" s="1838"/>
      <c r="L513" s="1838"/>
      <c r="M513" s="1838"/>
      <c r="N513" s="1838"/>
      <c r="O513" s="1838"/>
      <c r="P513" s="1838"/>
      <c r="Q513" s="1838"/>
      <c r="R513" s="1838"/>
      <c r="S513" s="1838"/>
      <c r="T513" s="1838"/>
      <c r="U513" s="1838"/>
      <c r="V513" s="1838"/>
      <c r="W513" s="1838"/>
      <c r="X513" s="1838"/>
      <c r="Y513" s="1838"/>
      <c r="Z513" s="692" t="s">
        <v>104</v>
      </c>
      <c r="AA513" s="1822" t="s">
        <v>103</v>
      </c>
      <c r="AB513" s="1188" t="s">
        <v>1081</v>
      </c>
      <c r="AC513" s="1178">
        <v>93.92</v>
      </c>
      <c r="AD513" s="1188" t="str">
        <f>AB513</f>
        <v>      Амортизационные отчисления с выделением результатов переоценки основных средств и нематериальных активов</v>
      </c>
      <c r="AE513" s="1178">
        <v>0</v>
      </c>
      <c r="AF513" s="2095"/>
      <c r="AG513" s="1767"/>
      <c r="AH513" s="1767"/>
      <c r="AI513" s="2095"/>
      <c r="AJ513" s="1767"/>
      <c r="AK513" s="1993"/>
      <c r="AL513" s="1994"/>
      <c r="AM513" s="1831"/>
      <c r="AN513" s="1831"/>
      <c r="AO513" s="1831"/>
      <c r="AP513" s="1831"/>
      <c r="AQ513" s="1831"/>
      <c r="AR513" s="1831"/>
      <c r="AS513" s="1831"/>
      <c r="AT513" s="1831"/>
      <c r="AU513" s="1831"/>
      <c r="AV513" s="1831"/>
      <c r="AW513" s="1831"/>
      <c r="AX513" s="1831"/>
      <c r="AY513" s="1831"/>
      <c r="AZ513" s="1831"/>
      <c r="BA513" s="1831"/>
      <c r="BB513" s="1831"/>
      <c r="BC513" s="1831"/>
      <c r="BD513" s="1831"/>
      <c r="BE513" s="1831"/>
      <c r="BF513" s="1831"/>
      <c r="BG513" s="1644"/>
    </row>
    <row customHeight="1" ht="11.25">
      <c r="A514" s="1175" t="s">
        <v>1036</v>
      </c>
      <c r="B514" s="1175"/>
      <c r="C514" s="1175"/>
      <c r="D514" s="1169"/>
      <c r="E514" s="1179"/>
      <c r="F514" s="1838"/>
      <c r="G514" s="1838"/>
      <c r="H514" s="1838"/>
      <c r="I514" s="1838"/>
      <c r="J514" s="1838"/>
      <c r="K514" s="1838"/>
      <c r="L514" s="1838"/>
      <c r="M514" s="1838"/>
      <c r="N514" s="1838"/>
      <c r="O514" s="1838"/>
      <c r="P514" s="1838"/>
      <c r="Q514" s="1838"/>
      <c r="R514" s="1838"/>
      <c r="S514" s="1838"/>
      <c r="T514" s="1838"/>
      <c r="U514" s="1838"/>
      <c r="V514" s="1838"/>
      <c r="W514" s="1838"/>
      <c r="X514" s="1838"/>
      <c r="Y514" s="1838"/>
      <c r="Z514" s="692" t="s">
        <v>104</v>
      </c>
      <c r="AA514" s="1822" t="s">
        <v>91</v>
      </c>
      <c r="AB514" s="1188" t="s">
        <v>1091</v>
      </c>
      <c r="AC514" s="1178">
        <v>845.24</v>
      </c>
      <c r="AD514" s="1188" t="str">
        <f>AB514</f>
        <v>  Прочие собственные средства</v>
      </c>
      <c r="AE514" s="1178">
        <v>1318.11</v>
      </c>
      <c r="AF514" s="2095"/>
      <c r="AG514" s="1767"/>
      <c r="AH514" s="1767"/>
      <c r="AI514" s="2095"/>
      <c r="AJ514" s="1767"/>
      <c r="AK514" s="1993"/>
      <c r="AL514" s="1994"/>
      <c r="AM514" s="1831"/>
      <c r="AN514" s="1831"/>
      <c r="AO514" s="1831"/>
      <c r="AP514" s="1831"/>
      <c r="AQ514" s="1831"/>
      <c r="AR514" s="1831"/>
      <c r="AS514" s="1831"/>
      <c r="AT514" s="1831"/>
      <c r="AU514" s="1831"/>
      <c r="AV514" s="1831"/>
      <c r="AW514" s="1831"/>
      <c r="AX514" s="1831"/>
      <c r="AY514" s="1831"/>
      <c r="AZ514" s="1831"/>
      <c r="BA514" s="1831"/>
      <c r="BB514" s="1831"/>
      <c r="BC514" s="1831"/>
      <c r="BD514" s="1831"/>
      <c r="BE514" s="1831"/>
      <c r="BF514" s="1831"/>
      <c r="BG514" s="1644"/>
    </row>
    <row customHeight="1" ht="11.25">
      <c r="A515" s="1175" t="s">
        <v>1036</v>
      </c>
      <c r="B515" s="1175"/>
      <c r="C515" s="1175"/>
      <c r="D515" s="1169"/>
      <c r="E515" s="1179"/>
      <c r="F515" s="1837"/>
      <c r="G515" s="1838"/>
      <c r="H515" s="2543" t="s">
        <v>1286</v>
      </c>
      <c r="I515" s="2544"/>
      <c r="J515" s="2727"/>
      <c r="K515" s="2545"/>
      <c r="L515" s="2135"/>
      <c r="M515" s="2136"/>
      <c r="N515" s="2536"/>
      <c r="O515" s="2537"/>
      <c r="P515" s="2540"/>
      <c r="Q515" s="2725"/>
      <c r="R515" s="2541"/>
      <c r="S515" s="2542"/>
      <c r="T515" s="2541"/>
      <c r="U515" s="2541"/>
      <c r="V515" s="2541"/>
      <c r="W515" s="2541"/>
      <c r="X515" s="2541"/>
      <c r="Y515" s="2541"/>
      <c r="Z515" s="1184"/>
      <c r="AA515" s="1185"/>
      <c r="AB515" s="1250" t="s">
        <v>1082</v>
      </c>
      <c r="AC515" s="1189"/>
      <c r="AD515" s="1189"/>
      <c r="AE515" s="1191"/>
      <c r="AF515" s="2534"/>
      <c r="AG515" s="2535"/>
      <c r="AH515" s="2535"/>
      <c r="AI515" s="2534"/>
      <c r="AJ515" s="2535"/>
      <c r="AK515" s="2535"/>
      <c r="AL515" s="1994"/>
      <c r="AM515" s="1831"/>
      <c r="AN515" s="1831"/>
      <c r="AO515" s="1831"/>
      <c r="AP515" s="1831"/>
      <c r="AQ515" s="1831"/>
      <c r="AR515" s="1831"/>
      <c r="AS515" s="1831"/>
      <c r="AT515" s="1831"/>
      <c r="AU515" s="1831"/>
      <c r="AV515" s="1831"/>
      <c r="AW515" s="1831"/>
      <c r="AX515" s="1831"/>
      <c r="AY515" s="1831"/>
      <c r="AZ515" s="1831"/>
      <c r="BA515" s="1831"/>
      <c r="BB515" s="1831"/>
      <c r="BC515" s="1831"/>
      <c r="BD515" s="1831"/>
      <c r="BE515" s="1831"/>
      <c r="BF515" s="1831"/>
      <c r="BG515" s="1644"/>
    </row>
    <row customHeight="1" ht="11.25">
      <c r="A516" s="1175" t="s">
        <v>1036</v>
      </c>
      <c r="B516" s="1175"/>
      <c r="C516" s="1175"/>
      <c r="D516" s="1169"/>
      <c r="E516" s="1179"/>
      <c r="F516" s="1837"/>
      <c r="G516" s="1838"/>
      <c r="H516" s="2543" t="s">
        <v>1286</v>
      </c>
      <c r="I516" s="2544"/>
      <c r="J516" s="2727"/>
      <c r="K516" s="2545"/>
      <c r="L516" s="2135"/>
      <c r="M516" s="2136"/>
      <c r="N516" s="1184"/>
      <c r="O516" s="1185"/>
      <c r="P516" s="1177" t="s">
        <v>1083</v>
      </c>
      <c r="Q516" s="1185"/>
      <c r="R516" s="1185"/>
      <c r="S516" s="1185"/>
      <c r="T516" s="1185"/>
      <c r="U516" s="1185"/>
      <c r="V516" s="1185"/>
      <c r="W516" s="1185"/>
      <c r="X516" s="1185"/>
      <c r="Y516" s="1185"/>
      <c r="Z516" s="1185"/>
      <c r="AA516" s="1185"/>
      <c r="AB516" s="1185"/>
      <c r="AC516" s="1185"/>
      <c r="AD516" s="1185"/>
      <c r="AE516" s="1192"/>
      <c r="AF516" s="2534"/>
      <c r="AG516" s="2535"/>
      <c r="AH516" s="2535"/>
      <c r="AI516" s="2534"/>
      <c r="AJ516" s="2535"/>
      <c r="AK516" s="2535"/>
      <c r="AL516" s="1994"/>
      <c r="AM516" s="1831"/>
      <c r="AN516" s="1831"/>
      <c r="AO516" s="1831"/>
      <c r="AP516" s="1831"/>
      <c r="AQ516" s="1831"/>
      <c r="AR516" s="1831"/>
      <c r="AS516" s="1831"/>
      <c r="AT516" s="1831"/>
      <c r="AU516" s="1831"/>
      <c r="AV516" s="1831"/>
      <c r="AW516" s="1831"/>
      <c r="AX516" s="1831"/>
      <c r="AY516" s="1831"/>
      <c r="AZ516" s="1831"/>
      <c r="BA516" s="1831"/>
      <c r="BB516" s="1831"/>
      <c r="BC516" s="1831"/>
      <c r="BD516" s="1831"/>
      <c r="BE516" s="1831"/>
      <c r="BF516" s="1831"/>
      <c r="BG516" s="1644"/>
    </row>
    <row customHeight="1" ht="11.25">
      <c r="A517" s="1175" t="s">
        <v>1036</v>
      </c>
      <c r="B517" s="1175" t="s">
        <v>1068</v>
      </c>
      <c r="C517" s="1175"/>
      <c r="D517" s="1169"/>
      <c r="E517" s="1179"/>
      <c r="F517" s="1837"/>
      <c r="G517" s="692" t="s">
        <v>104</v>
      </c>
      <c r="H517" s="2543" t="s">
        <v>1290</v>
      </c>
      <c r="I517" s="2544" t="s">
        <v>1069</v>
      </c>
      <c r="J517" s="2513" t="s">
        <v>1070</v>
      </c>
      <c r="K517" s="2545" t="s">
        <v>1291</v>
      </c>
      <c r="L517" s="2135" t="s">
        <v>19</v>
      </c>
      <c r="M517" s="2136"/>
      <c r="N517" s="1992"/>
      <c r="O517" s="1186" t="s">
        <v>391</v>
      </c>
      <c r="P517" s="1187"/>
      <c r="Q517" s="1187"/>
      <c r="R517" s="1187"/>
      <c r="S517" s="1187"/>
      <c r="T517" s="1187"/>
      <c r="U517" s="1187"/>
      <c r="V517" s="1187"/>
      <c r="W517" s="1187"/>
      <c r="X517" s="1187"/>
      <c r="Y517" s="1187"/>
      <c r="Z517" s="1187"/>
      <c r="AA517" s="1187"/>
      <c r="AB517" s="1187"/>
      <c r="AC517" s="1187"/>
      <c r="AD517" s="1187"/>
      <c r="AE517" s="1187"/>
      <c r="AF517" s="2534">
        <v>1</v>
      </c>
      <c r="AG517" s="2535" t="s">
        <v>1072</v>
      </c>
      <c r="AH517" s="2535" t="s">
        <v>1085</v>
      </c>
      <c r="AI517" s="2534">
        <v>1</v>
      </c>
      <c r="AJ517" s="2535" t="s">
        <v>1194</v>
      </c>
      <c r="AK517" s="2535" t="s">
        <v>1085</v>
      </c>
      <c r="AL517" s="1994"/>
      <c r="AM517" s="1831"/>
      <c r="AN517" s="1831"/>
      <c r="AO517" s="1831"/>
      <c r="AP517" s="1831"/>
      <c r="AQ517" s="1831"/>
      <c r="AR517" s="1831"/>
      <c r="AS517" s="1831"/>
      <c r="AT517" s="1831"/>
      <c r="AU517" s="1831"/>
      <c r="AV517" s="1831"/>
      <c r="AW517" s="1831"/>
      <c r="AX517" s="1831"/>
      <c r="AY517" s="1831"/>
      <c r="AZ517" s="1831"/>
      <c r="BA517" s="1831"/>
      <c r="BB517" s="1831"/>
      <c r="BC517" s="1831"/>
      <c r="BD517" s="1831"/>
      <c r="BE517" s="1831"/>
      <c r="BF517" s="1831"/>
      <c r="BG517" s="1644"/>
    </row>
    <row customHeight="1" ht="11.25">
      <c r="A518" s="1175" t="s">
        <v>1036</v>
      </c>
      <c r="B518" s="1175"/>
      <c r="C518" s="1175"/>
      <c r="D518" s="1169"/>
      <c r="E518" s="1179"/>
      <c r="F518" s="1837"/>
      <c r="G518" s="1838"/>
      <c r="H518" s="2543" t="s">
        <v>1288</v>
      </c>
      <c r="I518" s="2544"/>
      <c r="J518" s="2513"/>
      <c r="K518" s="2545"/>
      <c r="L518" s="2135"/>
      <c r="M518" s="2136"/>
      <c r="N518" s="2536"/>
      <c r="O518" s="2537">
        <v>1</v>
      </c>
      <c r="P518" s="2538" t="s">
        <v>63</v>
      </c>
      <c r="Q518" s="2725" t="s">
        <v>1106</v>
      </c>
      <c r="R518" s="2726" t="s">
        <v>1076</v>
      </c>
      <c r="S518" s="2726" t="s">
        <v>100</v>
      </c>
      <c r="T518" s="2726" t="s">
        <v>100</v>
      </c>
      <c r="U518" s="2726" t="s">
        <v>101</v>
      </c>
      <c r="V518" s="2726" t="s">
        <v>1107</v>
      </c>
      <c r="W518" s="2726" t="s">
        <v>1108</v>
      </c>
      <c r="X518" s="2726" t="s">
        <v>1109</v>
      </c>
      <c r="Y518" s="2726" t="s">
        <v>1110</v>
      </c>
      <c r="Z518" s="1184"/>
      <c r="AA518" s="1185"/>
      <c r="AB518" s="1185"/>
      <c r="AC518" s="1189"/>
      <c r="AD518" s="1189"/>
      <c r="AE518" s="1190"/>
      <c r="AF518" s="2534"/>
      <c r="AG518" s="2535"/>
      <c r="AH518" s="2535"/>
      <c r="AI518" s="2534"/>
      <c r="AJ518" s="2535"/>
      <c r="AK518" s="2535"/>
      <c r="AL518" s="1994"/>
      <c r="AM518" s="1831"/>
      <c r="AN518" s="1831"/>
      <c r="AO518" s="1831"/>
      <c r="AP518" s="1831"/>
      <c r="AQ518" s="1831"/>
      <c r="AR518" s="1831"/>
      <c r="AS518" s="1831"/>
      <c r="AT518" s="1831"/>
      <c r="AU518" s="1831"/>
      <c r="AV518" s="1831"/>
      <c r="AW518" s="1831"/>
      <c r="AX518" s="1831"/>
      <c r="AY518" s="1831"/>
      <c r="AZ518" s="1831"/>
      <c r="BA518" s="1831"/>
      <c r="BB518" s="1831"/>
      <c r="BC518" s="1831"/>
      <c r="BD518" s="1831"/>
      <c r="BE518" s="1831"/>
      <c r="BF518" s="1831"/>
      <c r="BG518" s="1644"/>
    </row>
    <row customHeight="1" ht="11.25">
      <c r="A519" s="1175" t="s">
        <v>1036</v>
      </c>
      <c r="B519" s="1175"/>
      <c r="C519" s="1175"/>
      <c r="D519" s="1169"/>
      <c r="E519" s="1179"/>
      <c r="F519" s="1837"/>
      <c r="G519" s="1838"/>
      <c r="H519" s="2543" t="s">
        <v>1288</v>
      </c>
      <c r="I519" s="2544"/>
      <c r="J519" s="2513"/>
      <c r="K519" s="2545"/>
      <c r="L519" s="2135"/>
      <c r="M519" s="2136"/>
      <c r="N519" s="2536"/>
      <c r="O519" s="2537"/>
      <c r="P519" s="2539"/>
      <c r="Q519" s="2725"/>
      <c r="R519" s="2541"/>
      <c r="S519" s="2542"/>
      <c r="T519" s="2541"/>
      <c r="U519" s="2541"/>
      <c r="V519" s="2541"/>
      <c r="W519" s="2541"/>
      <c r="X519" s="2541"/>
      <c r="Y519" s="2541"/>
      <c r="Z519" s="1836"/>
      <c r="AA519" s="1802">
        <v>1</v>
      </c>
      <c r="AB519" s="1188" t="s">
        <v>1270</v>
      </c>
      <c r="AC519" s="1178">
        <v>98623.5</v>
      </c>
      <c r="AD519" s="1188" t="str">
        <f>AB519</f>
        <v>      Прочие займы</v>
      </c>
      <c r="AE519" s="1178">
        <v>102632.16</v>
      </c>
      <c r="AF519" s="2534"/>
      <c r="AG519" s="2535"/>
      <c r="AH519" s="2535"/>
      <c r="AI519" s="2534"/>
      <c r="AJ519" s="2535"/>
      <c r="AK519" s="2535"/>
      <c r="AL519" s="1994"/>
      <c r="AM519" s="1831"/>
      <c r="AN519" s="1831"/>
      <c r="AO519" s="1831"/>
      <c r="AP519" s="1831"/>
      <c r="AQ519" s="1831"/>
      <c r="AR519" s="1831"/>
      <c r="AS519" s="1831"/>
      <c r="AT519" s="1831"/>
      <c r="AU519" s="1831"/>
      <c r="AV519" s="1831"/>
      <c r="AW519" s="1831"/>
      <c r="AX519" s="1831"/>
      <c r="AY519" s="1831"/>
      <c r="AZ519" s="1831"/>
      <c r="BA519" s="1831"/>
      <c r="BB519" s="1831"/>
      <c r="BC519" s="1831"/>
      <c r="BD519" s="1831"/>
      <c r="BE519" s="1831"/>
      <c r="BF519" s="1831"/>
      <c r="BG519" s="1644"/>
    </row>
    <row customHeight="1" ht="11.25">
      <c r="A520" s="1175" t="s">
        <v>1036</v>
      </c>
      <c r="B520" s="1175"/>
      <c r="C520" s="1175"/>
      <c r="D520" s="1169"/>
      <c r="E520" s="1179"/>
      <c r="F520" s="1838"/>
      <c r="G520" s="1838"/>
      <c r="H520" s="1838"/>
      <c r="I520" s="1838"/>
      <c r="J520" s="1838"/>
      <c r="K520" s="1838"/>
      <c r="L520" s="1838"/>
      <c r="M520" s="1838"/>
      <c r="N520" s="1838"/>
      <c r="O520" s="1838"/>
      <c r="P520" s="1838"/>
      <c r="Q520" s="1838"/>
      <c r="R520" s="1838"/>
      <c r="S520" s="1838"/>
      <c r="T520" s="1838"/>
      <c r="U520" s="1838"/>
      <c r="V520" s="1838"/>
      <c r="W520" s="1838"/>
      <c r="X520" s="1838"/>
      <c r="Y520" s="1838"/>
      <c r="Z520" s="692" t="s">
        <v>104</v>
      </c>
      <c r="AA520" s="1822" t="s">
        <v>103</v>
      </c>
      <c r="AB520" s="1188" t="s">
        <v>1081</v>
      </c>
      <c r="AC520" s="1178">
        <v>895.07</v>
      </c>
      <c r="AD520" s="1188" t="str">
        <f>AB520</f>
        <v>      Амортизационные отчисления с выделением результатов переоценки основных средств и нематериальных активов</v>
      </c>
      <c r="AE520" s="1178">
        <v>0</v>
      </c>
      <c r="AF520" s="2095"/>
      <c r="AG520" s="1767"/>
      <c r="AH520" s="1767"/>
      <c r="AI520" s="2095"/>
      <c r="AJ520" s="1767"/>
      <c r="AK520" s="1993"/>
      <c r="AL520" s="1994"/>
      <c r="AM520" s="1831"/>
      <c r="AN520" s="1831"/>
      <c r="AO520" s="1831"/>
      <c r="AP520" s="1831"/>
      <c r="AQ520" s="1831"/>
      <c r="AR520" s="1831"/>
      <c r="AS520" s="1831"/>
      <c r="AT520" s="1831"/>
      <c r="AU520" s="1831"/>
      <c r="AV520" s="1831"/>
      <c r="AW520" s="1831"/>
      <c r="AX520" s="1831"/>
      <c r="AY520" s="1831"/>
      <c r="AZ520" s="1831"/>
      <c r="BA520" s="1831"/>
      <c r="BB520" s="1831"/>
      <c r="BC520" s="1831"/>
      <c r="BD520" s="1831"/>
      <c r="BE520" s="1831"/>
      <c r="BF520" s="1831"/>
      <c r="BG520" s="1644"/>
    </row>
    <row customHeight="1" ht="11.25">
      <c r="A521" s="1175" t="s">
        <v>1036</v>
      </c>
      <c r="B521" s="1175"/>
      <c r="C521" s="1175"/>
      <c r="D521" s="1169"/>
      <c r="E521" s="1179"/>
      <c r="F521" s="1838"/>
      <c r="G521" s="1838"/>
      <c r="H521" s="1838"/>
      <c r="I521" s="1838"/>
      <c r="J521" s="1838"/>
      <c r="K521" s="1838"/>
      <c r="L521" s="1838"/>
      <c r="M521" s="1838"/>
      <c r="N521" s="1838"/>
      <c r="O521" s="1838"/>
      <c r="P521" s="1838"/>
      <c r="Q521" s="1838"/>
      <c r="R521" s="1838"/>
      <c r="S521" s="1838"/>
      <c r="T521" s="1838"/>
      <c r="U521" s="1838"/>
      <c r="V521" s="1838"/>
      <c r="W521" s="1838"/>
      <c r="X521" s="1838"/>
      <c r="Y521" s="1838"/>
      <c r="Z521" s="692" t="s">
        <v>104</v>
      </c>
      <c r="AA521" s="1822" t="s">
        <v>91</v>
      </c>
      <c r="AB521" s="1188" t="s">
        <v>1091</v>
      </c>
      <c r="AC521" s="1178">
        <v>8055.63</v>
      </c>
      <c r="AD521" s="1188" t="str">
        <f>AB521</f>
        <v>  Прочие собственные средства</v>
      </c>
      <c r="AE521" s="1178">
        <v>8678.47</v>
      </c>
      <c r="AF521" s="2095"/>
      <c r="AG521" s="1767"/>
      <c r="AH521" s="1767"/>
      <c r="AI521" s="2095"/>
      <c r="AJ521" s="1767"/>
      <c r="AK521" s="1993"/>
      <c r="AL521" s="1994"/>
      <c r="AM521" s="1831"/>
      <c r="AN521" s="1831"/>
      <c r="AO521" s="1831"/>
      <c r="AP521" s="1831"/>
      <c r="AQ521" s="1831"/>
      <c r="AR521" s="1831"/>
      <c r="AS521" s="1831"/>
      <c r="AT521" s="1831"/>
      <c r="AU521" s="1831"/>
      <c r="AV521" s="1831"/>
      <c r="AW521" s="1831"/>
      <c r="AX521" s="1831"/>
      <c r="AY521" s="1831"/>
      <c r="AZ521" s="1831"/>
      <c r="BA521" s="1831"/>
      <c r="BB521" s="1831"/>
      <c r="BC521" s="1831"/>
      <c r="BD521" s="1831"/>
      <c r="BE521" s="1831"/>
      <c r="BF521" s="1831"/>
      <c r="BG521" s="1644"/>
    </row>
    <row customHeight="1" ht="11.25">
      <c r="A522" s="1175" t="s">
        <v>1036</v>
      </c>
      <c r="B522" s="1175"/>
      <c r="C522" s="1175"/>
      <c r="D522" s="1169"/>
      <c r="E522" s="1179"/>
      <c r="F522" s="1837"/>
      <c r="G522" s="1838"/>
      <c r="H522" s="2543" t="s">
        <v>1288</v>
      </c>
      <c r="I522" s="2544"/>
      <c r="J522" s="2513"/>
      <c r="K522" s="2545"/>
      <c r="L522" s="2135"/>
      <c r="M522" s="2136"/>
      <c r="N522" s="2536"/>
      <c r="O522" s="2537"/>
      <c r="P522" s="2540"/>
      <c r="Q522" s="2725"/>
      <c r="R522" s="2541"/>
      <c r="S522" s="2542"/>
      <c r="T522" s="2541"/>
      <c r="U522" s="2541"/>
      <c r="V522" s="2541"/>
      <c r="W522" s="2541"/>
      <c r="X522" s="2541"/>
      <c r="Y522" s="2541"/>
      <c r="Z522" s="1184"/>
      <c r="AA522" s="1185"/>
      <c r="AB522" s="1250" t="s">
        <v>1082</v>
      </c>
      <c r="AC522" s="1189"/>
      <c r="AD522" s="1189"/>
      <c r="AE522" s="1191"/>
      <c r="AF522" s="2534"/>
      <c r="AG522" s="2535"/>
      <c r="AH522" s="2535"/>
      <c r="AI522" s="2534"/>
      <c r="AJ522" s="2535"/>
      <c r="AK522" s="2535"/>
      <c r="AL522" s="1994"/>
      <c r="AM522" s="1831"/>
      <c r="AN522" s="1831"/>
      <c r="AO522" s="1831"/>
      <c r="AP522" s="1831"/>
      <c r="AQ522" s="1831"/>
      <c r="AR522" s="1831"/>
      <c r="AS522" s="1831"/>
      <c r="AT522" s="1831"/>
      <c r="AU522" s="1831"/>
      <c r="AV522" s="1831"/>
      <c r="AW522" s="1831"/>
      <c r="AX522" s="1831"/>
      <c r="AY522" s="1831"/>
      <c r="AZ522" s="1831"/>
      <c r="BA522" s="1831"/>
      <c r="BB522" s="1831"/>
      <c r="BC522" s="1831"/>
      <c r="BD522" s="1831"/>
      <c r="BE522" s="1831"/>
      <c r="BF522" s="1831"/>
      <c r="BG522" s="1644"/>
    </row>
    <row customHeight="1" ht="11.25">
      <c r="A523" s="1175" t="s">
        <v>1036</v>
      </c>
      <c r="B523" s="1175"/>
      <c r="C523" s="1175"/>
      <c r="D523" s="1169"/>
      <c r="E523" s="1179"/>
      <c r="F523" s="1837"/>
      <c r="G523" s="1838"/>
      <c r="H523" s="2543" t="s">
        <v>1288</v>
      </c>
      <c r="I523" s="2544"/>
      <c r="J523" s="2513"/>
      <c r="K523" s="2545"/>
      <c r="L523" s="2135"/>
      <c r="M523" s="2136"/>
      <c r="N523" s="1184"/>
      <c r="O523" s="1185"/>
      <c r="P523" s="1177" t="s">
        <v>1083</v>
      </c>
      <c r="Q523" s="1185"/>
      <c r="R523" s="1185"/>
      <c r="S523" s="1185"/>
      <c r="T523" s="1185"/>
      <c r="U523" s="1185"/>
      <c r="V523" s="1185"/>
      <c r="W523" s="1185"/>
      <c r="X523" s="1185"/>
      <c r="Y523" s="1185"/>
      <c r="Z523" s="1185"/>
      <c r="AA523" s="1185"/>
      <c r="AB523" s="1185"/>
      <c r="AC523" s="1185"/>
      <c r="AD523" s="1185"/>
      <c r="AE523" s="1192"/>
      <c r="AF523" s="2534"/>
      <c r="AG523" s="2535"/>
      <c r="AH523" s="2535"/>
      <c r="AI523" s="2534"/>
      <c r="AJ523" s="2535"/>
      <c r="AK523" s="2535"/>
      <c r="AL523" s="1994"/>
      <c r="AM523" s="1831"/>
      <c r="AN523" s="1831"/>
      <c r="AO523" s="1831"/>
      <c r="AP523" s="1831"/>
      <c r="AQ523" s="1831"/>
      <c r="AR523" s="1831"/>
      <c r="AS523" s="1831"/>
      <c r="AT523" s="1831"/>
      <c r="AU523" s="1831"/>
      <c r="AV523" s="1831"/>
      <c r="AW523" s="1831"/>
      <c r="AX523" s="1831"/>
      <c r="AY523" s="1831"/>
      <c r="AZ523" s="1831"/>
      <c r="BA523" s="1831"/>
      <c r="BB523" s="1831"/>
      <c r="BC523" s="1831"/>
      <c r="BD523" s="1831"/>
      <c r="BE523" s="1831"/>
      <c r="BF523" s="1831"/>
      <c r="BG523" s="1644"/>
    </row>
    <row customHeight="1" ht="11.25">
      <c r="A524" s="1175" t="s">
        <v>1036</v>
      </c>
      <c r="B524" s="1175" t="s">
        <v>22</v>
      </c>
      <c r="C524" s="1175"/>
      <c r="D524" s="1169"/>
      <c r="E524" s="1179"/>
      <c r="F524" s="1837"/>
      <c r="G524" s="692" t="s">
        <v>104</v>
      </c>
      <c r="H524" s="2543" t="s">
        <v>1292</v>
      </c>
      <c r="I524" s="2544" t="s">
        <v>1137</v>
      </c>
      <c r="J524" s="2727" t="s">
        <v>22</v>
      </c>
      <c r="K524" s="2545" t="s">
        <v>1293</v>
      </c>
      <c r="L524" s="2135" t="s">
        <v>19</v>
      </c>
      <c r="M524" s="2136"/>
      <c r="N524" s="1992"/>
      <c r="O524" s="1186" t="s">
        <v>391</v>
      </c>
      <c r="P524" s="1187"/>
      <c r="Q524" s="1187"/>
      <c r="R524" s="1187"/>
      <c r="S524" s="1187"/>
      <c r="T524" s="1187"/>
      <c r="U524" s="1187"/>
      <c r="V524" s="1187"/>
      <c r="W524" s="1187"/>
      <c r="X524" s="1187"/>
      <c r="Y524" s="1187"/>
      <c r="Z524" s="1187"/>
      <c r="AA524" s="1187"/>
      <c r="AB524" s="1187"/>
      <c r="AC524" s="1187"/>
      <c r="AD524" s="1187"/>
      <c r="AE524" s="1187"/>
      <c r="AF524" s="2534">
        <v>1</v>
      </c>
      <c r="AG524" s="2535" t="s">
        <v>1072</v>
      </c>
      <c r="AH524" s="2535" t="s">
        <v>1085</v>
      </c>
      <c r="AI524" s="2905"/>
      <c r="AJ524" s="2535" t="s">
        <v>1089</v>
      </c>
      <c r="AK524" s="2535" t="s">
        <v>1089</v>
      </c>
      <c r="AL524" s="1994"/>
      <c r="AM524" s="1831"/>
      <c r="AN524" s="1831"/>
      <c r="AO524" s="1831"/>
      <c r="AP524" s="1831"/>
      <c r="AQ524" s="1831"/>
      <c r="AR524" s="1831"/>
      <c r="AS524" s="1831"/>
      <c r="AT524" s="1831"/>
      <c r="AU524" s="1831"/>
      <c r="AV524" s="1831"/>
      <c r="AW524" s="1831"/>
      <c r="AX524" s="1831"/>
      <c r="AY524" s="1831"/>
      <c r="AZ524" s="1831"/>
      <c r="BA524" s="1831"/>
      <c r="BB524" s="1831"/>
      <c r="BC524" s="1831"/>
      <c r="BD524" s="1831"/>
      <c r="BE524" s="1831"/>
      <c r="BF524" s="1831"/>
      <c r="BG524" s="1644"/>
    </row>
    <row customHeight="1" ht="11.25">
      <c r="A525" s="1175" t="s">
        <v>1036</v>
      </c>
      <c r="B525" s="1175"/>
      <c r="C525" s="1175"/>
      <c r="D525" s="1169"/>
      <c r="E525" s="1179"/>
      <c r="F525" s="1837"/>
      <c r="G525" s="1838"/>
      <c r="H525" s="2543" t="s">
        <v>1290</v>
      </c>
      <c r="I525" s="2544"/>
      <c r="J525" s="2727"/>
      <c r="K525" s="2545"/>
      <c r="L525" s="2135"/>
      <c r="M525" s="2136"/>
      <c r="N525" s="2536"/>
      <c r="O525" s="2537">
        <v>1</v>
      </c>
      <c r="P525" s="2538" t="s">
        <v>63</v>
      </c>
      <c r="Q525" s="2725" t="s">
        <v>1106</v>
      </c>
      <c r="R525" s="2726" t="s">
        <v>1076</v>
      </c>
      <c r="S525" s="2726" t="s">
        <v>100</v>
      </c>
      <c r="T525" s="2726" t="s">
        <v>100</v>
      </c>
      <c r="U525" s="2726" t="s">
        <v>101</v>
      </c>
      <c r="V525" s="2726" t="s">
        <v>1107</v>
      </c>
      <c r="W525" s="2726" t="s">
        <v>1108</v>
      </c>
      <c r="X525" s="2726" t="s">
        <v>1109</v>
      </c>
      <c r="Y525" s="2726" t="s">
        <v>1110</v>
      </c>
      <c r="Z525" s="1184"/>
      <c r="AA525" s="1185"/>
      <c r="AB525" s="1185"/>
      <c r="AC525" s="1189"/>
      <c r="AD525" s="1189"/>
      <c r="AE525" s="1190"/>
      <c r="AF525" s="2534"/>
      <c r="AG525" s="2535"/>
      <c r="AH525" s="2535"/>
      <c r="AI525" s="2905"/>
      <c r="AJ525" s="2535"/>
      <c r="AK525" s="2535"/>
      <c r="AL525" s="1994"/>
      <c r="AM525" s="1831"/>
      <c r="AN525" s="1831"/>
      <c r="AO525" s="1831"/>
      <c r="AP525" s="1831"/>
      <c r="AQ525" s="1831"/>
      <c r="AR525" s="1831"/>
      <c r="AS525" s="1831"/>
      <c r="AT525" s="1831"/>
      <c r="AU525" s="1831"/>
      <c r="AV525" s="1831"/>
      <c r="AW525" s="1831"/>
      <c r="AX525" s="1831"/>
      <c r="AY525" s="1831"/>
      <c r="AZ525" s="1831"/>
      <c r="BA525" s="1831"/>
      <c r="BB525" s="1831"/>
      <c r="BC525" s="1831"/>
      <c r="BD525" s="1831"/>
      <c r="BE525" s="1831"/>
      <c r="BF525" s="1831"/>
      <c r="BG525" s="1644"/>
    </row>
    <row customHeight="1" ht="11.25">
      <c r="A526" s="1175" t="s">
        <v>1036</v>
      </c>
      <c r="B526" s="1175"/>
      <c r="C526" s="1175"/>
      <c r="D526" s="1169"/>
      <c r="E526" s="1179"/>
      <c r="F526" s="1837"/>
      <c r="G526" s="1838"/>
      <c r="H526" s="2543" t="s">
        <v>1290</v>
      </c>
      <c r="I526" s="2544"/>
      <c r="J526" s="2727"/>
      <c r="K526" s="2545"/>
      <c r="L526" s="2135"/>
      <c r="M526" s="2136"/>
      <c r="N526" s="2536"/>
      <c r="O526" s="2537"/>
      <c r="P526" s="2539"/>
      <c r="Q526" s="2725"/>
      <c r="R526" s="2541"/>
      <c r="S526" s="2542"/>
      <c r="T526" s="2541"/>
      <c r="U526" s="2541"/>
      <c r="V526" s="2541"/>
      <c r="W526" s="2541"/>
      <c r="X526" s="2541"/>
      <c r="Y526" s="2541"/>
      <c r="Z526" s="1836"/>
      <c r="AA526" s="1802">
        <v>1</v>
      </c>
      <c r="AB526" s="1188" t="s">
        <v>1270</v>
      </c>
      <c r="AC526" s="1178">
        <v>35625.64</v>
      </c>
      <c r="AD526" s="1188" t="str">
        <f>AB526</f>
        <v>      Прочие займы</v>
      </c>
      <c r="AE526" s="1178">
        <v>25139.51</v>
      </c>
      <c r="AF526" s="2534"/>
      <c r="AG526" s="2535"/>
      <c r="AH526" s="2535"/>
      <c r="AI526" s="2905"/>
      <c r="AJ526" s="2535"/>
      <c r="AK526" s="2535"/>
      <c r="AL526" s="1994"/>
      <c r="AM526" s="1831"/>
      <c r="AN526" s="1831"/>
      <c r="AO526" s="1831"/>
      <c r="AP526" s="1831"/>
      <c r="AQ526" s="1831"/>
      <c r="AR526" s="1831"/>
      <c r="AS526" s="1831"/>
      <c r="AT526" s="1831"/>
      <c r="AU526" s="1831"/>
      <c r="AV526" s="1831"/>
      <c r="AW526" s="1831"/>
      <c r="AX526" s="1831"/>
      <c r="AY526" s="1831"/>
      <c r="AZ526" s="1831"/>
      <c r="BA526" s="1831"/>
      <c r="BB526" s="1831"/>
      <c r="BC526" s="1831"/>
      <c r="BD526" s="1831"/>
      <c r="BE526" s="1831"/>
      <c r="BF526" s="1831"/>
      <c r="BG526" s="1644"/>
    </row>
    <row customHeight="1" ht="11.25">
      <c r="A527" s="1175" t="s">
        <v>1036</v>
      </c>
      <c r="B527" s="1175"/>
      <c r="C527" s="1175"/>
      <c r="D527" s="1169"/>
      <c r="E527" s="1179"/>
      <c r="F527" s="1838"/>
      <c r="G527" s="1838"/>
      <c r="H527" s="1838"/>
      <c r="I527" s="1838"/>
      <c r="J527" s="1838"/>
      <c r="K527" s="1838"/>
      <c r="L527" s="1838"/>
      <c r="M527" s="1838"/>
      <c r="N527" s="1838"/>
      <c r="O527" s="1838"/>
      <c r="P527" s="1838"/>
      <c r="Q527" s="1838"/>
      <c r="R527" s="1838"/>
      <c r="S527" s="1838"/>
      <c r="T527" s="1838"/>
      <c r="U527" s="1838"/>
      <c r="V527" s="1838"/>
      <c r="W527" s="1838"/>
      <c r="X527" s="1838"/>
      <c r="Y527" s="1838"/>
      <c r="Z527" s="692" t="s">
        <v>104</v>
      </c>
      <c r="AA527" s="1822" t="s">
        <v>103</v>
      </c>
      <c r="AB527" s="1188" t="s">
        <v>1125</v>
      </c>
      <c r="AC527" s="1178">
        <v>0</v>
      </c>
      <c r="AD527" s="1188" t="str">
        <f>AB527</f>
        <v>  Прочие</v>
      </c>
      <c r="AE527" s="1178">
        <v>7851.17</v>
      </c>
      <c r="AF527" s="2095"/>
      <c r="AG527" s="1767"/>
      <c r="AH527" s="1767"/>
      <c r="AI527" s="2909"/>
      <c r="AJ527" s="1767"/>
      <c r="AK527" s="1993"/>
      <c r="AL527" s="1994"/>
      <c r="AM527" s="1831"/>
      <c r="AN527" s="1831"/>
      <c r="AO527" s="1831"/>
      <c r="AP527" s="1831"/>
      <c r="AQ527" s="1831"/>
      <c r="AR527" s="1831"/>
      <c r="AS527" s="1831"/>
      <c r="AT527" s="1831"/>
      <c r="AU527" s="1831"/>
      <c r="AV527" s="1831"/>
      <c r="AW527" s="1831"/>
      <c r="AX527" s="1831"/>
      <c r="AY527" s="1831"/>
      <c r="AZ527" s="1831"/>
      <c r="BA527" s="1831"/>
      <c r="BB527" s="1831"/>
      <c r="BC527" s="1831"/>
      <c r="BD527" s="1831"/>
      <c r="BE527" s="1831"/>
      <c r="BF527" s="1831"/>
      <c r="BG527" s="1644"/>
    </row>
    <row customHeight="1" ht="11.25">
      <c r="A528" s="1175" t="s">
        <v>1036</v>
      </c>
      <c r="B528" s="1175"/>
      <c r="C528" s="1175"/>
      <c r="D528" s="1169"/>
      <c r="E528" s="1179"/>
      <c r="F528" s="1838"/>
      <c r="G528" s="1838"/>
      <c r="H528" s="1838"/>
      <c r="I528" s="1838"/>
      <c r="J528" s="1838"/>
      <c r="K528" s="1838"/>
      <c r="L528" s="1838"/>
      <c r="M528" s="1838"/>
      <c r="N528" s="1838"/>
      <c r="O528" s="1838"/>
      <c r="P528" s="1838"/>
      <c r="Q528" s="1838"/>
      <c r="R528" s="1838"/>
      <c r="S528" s="1838"/>
      <c r="T528" s="1838"/>
      <c r="U528" s="1838"/>
      <c r="V528" s="1838"/>
      <c r="W528" s="1838"/>
      <c r="X528" s="1838"/>
      <c r="Y528" s="1838"/>
      <c r="Z528" s="692" t="s">
        <v>104</v>
      </c>
      <c r="AA528" s="1822" t="s">
        <v>91</v>
      </c>
      <c r="AB528" s="1188" t="s">
        <v>1091</v>
      </c>
      <c r="AC528" s="1178">
        <v>0</v>
      </c>
      <c r="AD528" s="1188" t="str">
        <f>AB528</f>
        <v>  Прочие собственные средства</v>
      </c>
      <c r="AE528" s="1178">
        <v>1.15</v>
      </c>
      <c r="AF528" s="2095"/>
      <c r="AG528" s="1767"/>
      <c r="AH528" s="1767"/>
      <c r="AI528" s="2909"/>
      <c r="AJ528" s="1767"/>
      <c r="AK528" s="1993"/>
      <c r="AL528" s="1994"/>
      <c r="AM528" s="1831"/>
      <c r="AN528" s="1831"/>
      <c r="AO528" s="1831"/>
      <c r="AP528" s="1831"/>
      <c r="AQ528" s="1831"/>
      <c r="AR528" s="1831"/>
      <c r="AS528" s="1831"/>
      <c r="AT528" s="1831"/>
      <c r="AU528" s="1831"/>
      <c r="AV528" s="1831"/>
      <c r="AW528" s="1831"/>
      <c r="AX528" s="1831"/>
      <c r="AY528" s="1831"/>
      <c r="AZ528" s="1831"/>
      <c r="BA528" s="1831"/>
      <c r="BB528" s="1831"/>
      <c r="BC528" s="1831"/>
      <c r="BD528" s="1831"/>
      <c r="BE528" s="1831"/>
      <c r="BF528" s="1831"/>
      <c r="BG528" s="1644"/>
    </row>
    <row customHeight="1" ht="11.25">
      <c r="A529" s="1175" t="s">
        <v>1036</v>
      </c>
      <c r="B529" s="1175"/>
      <c r="C529" s="1175"/>
      <c r="D529" s="1169"/>
      <c r="E529" s="1179"/>
      <c r="F529" s="1837"/>
      <c r="G529" s="1838"/>
      <c r="H529" s="2543" t="s">
        <v>1290</v>
      </c>
      <c r="I529" s="2544"/>
      <c r="J529" s="2727"/>
      <c r="K529" s="2545"/>
      <c r="L529" s="2135"/>
      <c r="M529" s="2136"/>
      <c r="N529" s="2536"/>
      <c r="O529" s="2537"/>
      <c r="P529" s="2540"/>
      <c r="Q529" s="2725"/>
      <c r="R529" s="2541"/>
      <c r="S529" s="2542"/>
      <c r="T529" s="2541"/>
      <c r="U529" s="2541"/>
      <c r="V529" s="2541"/>
      <c r="W529" s="2541"/>
      <c r="X529" s="2541"/>
      <c r="Y529" s="2541"/>
      <c r="Z529" s="1184"/>
      <c r="AA529" s="1185"/>
      <c r="AB529" s="1250" t="s">
        <v>1082</v>
      </c>
      <c r="AC529" s="1189"/>
      <c r="AD529" s="1189"/>
      <c r="AE529" s="1191"/>
      <c r="AF529" s="2534"/>
      <c r="AG529" s="2535"/>
      <c r="AH529" s="2535"/>
      <c r="AI529" s="2905"/>
      <c r="AJ529" s="2535"/>
      <c r="AK529" s="2535"/>
      <c r="AL529" s="1994"/>
      <c r="AM529" s="1831"/>
      <c r="AN529" s="1831"/>
      <c r="AO529" s="1831"/>
      <c r="AP529" s="1831"/>
      <c r="AQ529" s="1831"/>
      <c r="AR529" s="1831"/>
      <c r="AS529" s="1831"/>
      <c r="AT529" s="1831"/>
      <c r="AU529" s="1831"/>
      <c r="AV529" s="1831"/>
      <c r="AW529" s="1831"/>
      <c r="AX529" s="1831"/>
      <c r="AY529" s="1831"/>
      <c r="AZ529" s="1831"/>
      <c r="BA529" s="1831"/>
      <c r="BB529" s="1831"/>
      <c r="BC529" s="1831"/>
      <c r="BD529" s="1831"/>
      <c r="BE529" s="1831"/>
      <c r="BF529" s="1831"/>
      <c r="BG529" s="1644"/>
    </row>
    <row customHeight="1" ht="11.25">
      <c r="A530" s="1175" t="s">
        <v>1036</v>
      </c>
      <c r="B530" s="1175"/>
      <c r="C530" s="1175"/>
      <c r="D530" s="1169"/>
      <c r="E530" s="1179"/>
      <c r="F530" s="1837"/>
      <c r="G530" s="1838"/>
      <c r="H530" s="2543" t="s">
        <v>1290</v>
      </c>
      <c r="I530" s="2544"/>
      <c r="J530" s="2727"/>
      <c r="K530" s="2545"/>
      <c r="L530" s="2135"/>
      <c r="M530" s="2136"/>
      <c r="N530" s="1184"/>
      <c r="O530" s="1185"/>
      <c r="P530" s="1177" t="s">
        <v>1083</v>
      </c>
      <c r="Q530" s="1185"/>
      <c r="R530" s="1185"/>
      <c r="S530" s="1185"/>
      <c r="T530" s="1185"/>
      <c r="U530" s="1185"/>
      <c r="V530" s="1185"/>
      <c r="W530" s="1185"/>
      <c r="X530" s="1185"/>
      <c r="Y530" s="1185"/>
      <c r="Z530" s="1185"/>
      <c r="AA530" s="1185"/>
      <c r="AB530" s="1185"/>
      <c r="AC530" s="1185"/>
      <c r="AD530" s="1185"/>
      <c r="AE530" s="1192"/>
      <c r="AF530" s="2534"/>
      <c r="AG530" s="2535"/>
      <c r="AH530" s="2535"/>
      <c r="AI530" s="2905"/>
      <c r="AJ530" s="2535"/>
      <c r="AK530" s="2535"/>
      <c r="AL530" s="1994"/>
      <c r="AM530" s="1831"/>
      <c r="AN530" s="1831"/>
      <c r="AO530" s="1831"/>
      <c r="AP530" s="1831"/>
      <c r="AQ530" s="1831"/>
      <c r="AR530" s="1831"/>
      <c r="AS530" s="1831"/>
      <c r="AT530" s="1831"/>
      <c r="AU530" s="1831"/>
      <c r="AV530" s="1831"/>
      <c r="AW530" s="1831"/>
      <c r="AX530" s="1831"/>
      <c r="AY530" s="1831"/>
      <c r="AZ530" s="1831"/>
      <c r="BA530" s="1831"/>
      <c r="BB530" s="1831"/>
      <c r="BC530" s="1831"/>
      <c r="BD530" s="1831"/>
      <c r="BE530" s="1831"/>
      <c r="BF530" s="1831"/>
      <c r="BG530" s="1644"/>
    </row>
    <row customHeight="1" ht="11.25">
      <c r="A531" s="1175" t="s">
        <v>1036</v>
      </c>
      <c r="B531" s="1175" t="s">
        <v>22</v>
      </c>
      <c r="C531" s="1175"/>
      <c r="D531" s="1169"/>
      <c r="E531" s="1179"/>
      <c r="F531" s="1837"/>
      <c r="G531" s="692" t="s">
        <v>104</v>
      </c>
      <c r="H531" s="2543" t="s">
        <v>1294</v>
      </c>
      <c r="I531" s="2544" t="s">
        <v>1137</v>
      </c>
      <c r="J531" s="2727" t="s">
        <v>22</v>
      </c>
      <c r="K531" s="2545" t="s">
        <v>1295</v>
      </c>
      <c r="L531" s="2135" t="s">
        <v>19</v>
      </c>
      <c r="M531" s="2136"/>
      <c r="N531" s="1992"/>
      <c r="O531" s="1186" t="s">
        <v>391</v>
      </c>
      <c r="P531" s="1187"/>
      <c r="Q531" s="1187"/>
      <c r="R531" s="1187"/>
      <c r="S531" s="1187"/>
      <c r="T531" s="1187"/>
      <c r="U531" s="1187"/>
      <c r="V531" s="1187"/>
      <c r="W531" s="1187"/>
      <c r="X531" s="1187"/>
      <c r="Y531" s="1187"/>
      <c r="Z531" s="1187"/>
      <c r="AA531" s="1187"/>
      <c r="AB531" s="1187"/>
      <c r="AC531" s="1187"/>
      <c r="AD531" s="1187"/>
      <c r="AE531" s="1187"/>
      <c r="AF531" s="2534">
        <v>5</v>
      </c>
      <c r="AG531" s="2535" t="s">
        <v>1072</v>
      </c>
      <c r="AH531" s="2535" t="s">
        <v>1163</v>
      </c>
      <c r="AI531" s="2724"/>
      <c r="AJ531" s="2535" t="s">
        <v>1074</v>
      </c>
      <c r="AK531" s="2535" t="s">
        <v>1074</v>
      </c>
      <c r="AL531" s="1994"/>
      <c r="AM531" s="1831"/>
      <c r="AN531" s="1831"/>
      <c r="AO531" s="1831"/>
      <c r="AP531" s="1831"/>
      <c r="AQ531" s="1831"/>
      <c r="AR531" s="1831"/>
      <c r="AS531" s="1831"/>
      <c r="AT531" s="1831"/>
      <c r="AU531" s="1831"/>
      <c r="AV531" s="1831"/>
      <c r="AW531" s="1831"/>
      <c r="AX531" s="1831"/>
      <c r="AY531" s="1831"/>
      <c r="AZ531" s="1831"/>
      <c r="BA531" s="1831"/>
      <c r="BB531" s="1831"/>
      <c r="BC531" s="1831"/>
      <c r="BD531" s="1831"/>
      <c r="BE531" s="1831"/>
      <c r="BF531" s="1831"/>
      <c r="BG531" s="1644"/>
    </row>
    <row customHeight="1" ht="11.25">
      <c r="A532" s="1175" t="s">
        <v>1036</v>
      </c>
      <c r="B532" s="1175"/>
      <c r="C532" s="1175"/>
      <c r="D532" s="1169"/>
      <c r="E532" s="1179"/>
      <c r="F532" s="1837"/>
      <c r="G532" s="1838"/>
      <c r="H532" s="2543" t="s">
        <v>1292</v>
      </c>
      <c r="I532" s="2544"/>
      <c r="J532" s="2727"/>
      <c r="K532" s="2545"/>
      <c r="L532" s="2135"/>
      <c r="M532" s="2136"/>
      <c r="N532" s="2536"/>
      <c r="O532" s="2537">
        <v>1</v>
      </c>
      <c r="P532" s="2538" t="s">
        <v>63</v>
      </c>
      <c r="Q532" s="2725" t="s">
        <v>1106</v>
      </c>
      <c r="R532" s="2726" t="s">
        <v>1076</v>
      </c>
      <c r="S532" s="2726" t="s">
        <v>100</v>
      </c>
      <c r="T532" s="2726" t="s">
        <v>100</v>
      </c>
      <c r="U532" s="2726" t="s">
        <v>101</v>
      </c>
      <c r="V532" s="2726" t="s">
        <v>1107</v>
      </c>
      <c r="W532" s="2726" t="s">
        <v>1108</v>
      </c>
      <c r="X532" s="2726" t="s">
        <v>1109</v>
      </c>
      <c r="Y532" s="2726" t="s">
        <v>1110</v>
      </c>
      <c r="Z532" s="1184"/>
      <c r="AA532" s="1185"/>
      <c r="AB532" s="1185"/>
      <c r="AC532" s="1189"/>
      <c r="AD532" s="1189"/>
      <c r="AE532" s="1190"/>
      <c r="AF532" s="2534"/>
      <c r="AG532" s="2535"/>
      <c r="AH532" s="2535"/>
      <c r="AI532" s="2724"/>
      <c r="AJ532" s="2535"/>
      <c r="AK532" s="2535"/>
      <c r="AL532" s="1994"/>
      <c r="AM532" s="1831"/>
      <c r="AN532" s="1831"/>
      <c r="AO532" s="1831"/>
      <c r="AP532" s="1831"/>
      <c r="AQ532" s="1831"/>
      <c r="AR532" s="1831"/>
      <c r="AS532" s="1831"/>
      <c r="AT532" s="1831"/>
      <c r="AU532" s="1831"/>
      <c r="AV532" s="1831"/>
      <c r="AW532" s="1831"/>
      <c r="AX532" s="1831"/>
      <c r="AY532" s="1831"/>
      <c r="AZ532" s="1831"/>
      <c r="BA532" s="1831"/>
      <c r="BB532" s="1831"/>
      <c r="BC532" s="1831"/>
      <c r="BD532" s="1831"/>
      <c r="BE532" s="1831"/>
      <c r="BF532" s="1831"/>
      <c r="BG532" s="1644"/>
    </row>
    <row customHeight="1" ht="11.25">
      <c r="A533" s="1175" t="s">
        <v>1036</v>
      </c>
      <c r="B533" s="1175"/>
      <c r="C533" s="1175"/>
      <c r="D533" s="1169"/>
      <c r="E533" s="1179"/>
      <c r="F533" s="1837"/>
      <c r="G533" s="1838"/>
      <c r="H533" s="2543" t="s">
        <v>1292</v>
      </c>
      <c r="I533" s="2544"/>
      <c r="J533" s="2727"/>
      <c r="K533" s="2545"/>
      <c r="L533" s="2135"/>
      <c r="M533" s="2136"/>
      <c r="N533" s="2536"/>
      <c r="O533" s="2537"/>
      <c r="P533" s="2539"/>
      <c r="Q533" s="2725"/>
      <c r="R533" s="2541"/>
      <c r="S533" s="2542"/>
      <c r="T533" s="2541"/>
      <c r="U533" s="2541"/>
      <c r="V533" s="2541"/>
      <c r="W533" s="2541"/>
      <c r="X533" s="2541"/>
      <c r="Y533" s="2541"/>
      <c r="Z533" s="1836"/>
      <c r="AA533" s="1802">
        <v>1</v>
      </c>
      <c r="AB533" s="1188" t="s">
        <v>1081</v>
      </c>
      <c r="AC533" s="1178">
        <v>1341.1</v>
      </c>
      <c r="AD533" s="1188" t="str">
        <f>AB533</f>
        <v>      Амортизационные отчисления с выделением результатов переоценки основных средств и нематериальных активов</v>
      </c>
      <c r="AE533" s="1178">
        <v>1341.1</v>
      </c>
      <c r="AF533" s="2534"/>
      <c r="AG533" s="2535"/>
      <c r="AH533" s="2535"/>
      <c r="AI533" s="2724"/>
      <c r="AJ533" s="2535"/>
      <c r="AK533" s="2535"/>
      <c r="AL533" s="1994"/>
      <c r="AM533" s="1831"/>
      <c r="AN533" s="1831"/>
      <c r="AO533" s="1831"/>
      <c r="AP533" s="1831"/>
      <c r="AQ533" s="1831"/>
      <c r="AR533" s="1831"/>
      <c r="AS533" s="1831"/>
      <c r="AT533" s="1831"/>
      <c r="AU533" s="1831"/>
      <c r="AV533" s="1831"/>
      <c r="AW533" s="1831"/>
      <c r="AX533" s="1831"/>
      <c r="AY533" s="1831"/>
      <c r="AZ533" s="1831"/>
      <c r="BA533" s="1831"/>
      <c r="BB533" s="1831"/>
      <c r="BC533" s="1831"/>
      <c r="BD533" s="1831"/>
      <c r="BE533" s="1831"/>
      <c r="BF533" s="1831"/>
      <c r="BG533" s="1644"/>
    </row>
    <row customHeight="1" ht="11.25">
      <c r="A534" s="1175" t="s">
        <v>1036</v>
      </c>
      <c r="B534" s="1175"/>
      <c r="C534" s="1175"/>
      <c r="D534" s="1169"/>
      <c r="E534" s="1179"/>
      <c r="F534" s="1838"/>
      <c r="G534" s="1838"/>
      <c r="H534" s="1838"/>
      <c r="I534" s="1838"/>
      <c r="J534" s="1838"/>
      <c r="K534" s="1838"/>
      <c r="L534" s="1838"/>
      <c r="M534" s="1838"/>
      <c r="N534" s="1838"/>
      <c r="O534" s="1838"/>
      <c r="P534" s="1838"/>
      <c r="Q534" s="1838"/>
      <c r="R534" s="1838"/>
      <c r="S534" s="1838"/>
      <c r="T534" s="1838"/>
      <c r="U534" s="1838"/>
      <c r="V534" s="1838"/>
      <c r="W534" s="1838"/>
      <c r="X534" s="1838"/>
      <c r="Y534" s="1838"/>
      <c r="Z534" s="692" t="s">
        <v>104</v>
      </c>
      <c r="AA534" s="1822" t="s">
        <v>103</v>
      </c>
      <c r="AB534" s="1188" t="s">
        <v>1091</v>
      </c>
      <c r="AC534" s="1178">
        <v>12069.9</v>
      </c>
      <c r="AD534" s="1188" t="str">
        <f>AB534</f>
        <v>  Прочие собственные средства</v>
      </c>
      <c r="AE534" s="1178">
        <v>11663.92</v>
      </c>
      <c r="AF534" s="2095"/>
      <c r="AG534" s="1767"/>
      <c r="AH534" s="1767"/>
      <c r="AI534" s="2728"/>
      <c r="AJ534" s="1767"/>
      <c r="AK534" s="1993"/>
      <c r="AL534" s="1994"/>
      <c r="AM534" s="1831"/>
      <c r="AN534" s="1831"/>
      <c r="AO534" s="1831"/>
      <c r="AP534" s="1831"/>
      <c r="AQ534" s="1831"/>
      <c r="AR534" s="1831"/>
      <c r="AS534" s="1831"/>
      <c r="AT534" s="1831"/>
      <c r="AU534" s="1831"/>
      <c r="AV534" s="1831"/>
      <c r="AW534" s="1831"/>
      <c r="AX534" s="1831"/>
      <c r="AY534" s="1831"/>
      <c r="AZ534" s="1831"/>
      <c r="BA534" s="1831"/>
      <c r="BB534" s="1831"/>
      <c r="BC534" s="1831"/>
      <c r="BD534" s="1831"/>
      <c r="BE534" s="1831"/>
      <c r="BF534" s="1831"/>
      <c r="BG534" s="1644"/>
    </row>
    <row customHeight="1" ht="11.25">
      <c r="A535" s="1175" t="s">
        <v>1036</v>
      </c>
      <c r="B535" s="1175"/>
      <c r="C535" s="1175"/>
      <c r="D535" s="1169"/>
      <c r="E535" s="1179"/>
      <c r="F535" s="1837"/>
      <c r="G535" s="1838"/>
      <c r="H535" s="2543" t="s">
        <v>1292</v>
      </c>
      <c r="I535" s="2544"/>
      <c r="J535" s="2727"/>
      <c r="K535" s="2545"/>
      <c r="L535" s="2135"/>
      <c r="M535" s="2136"/>
      <c r="N535" s="2536"/>
      <c r="O535" s="2537"/>
      <c r="P535" s="2540"/>
      <c r="Q535" s="2725"/>
      <c r="R535" s="2541"/>
      <c r="S535" s="2542"/>
      <c r="T535" s="2541"/>
      <c r="U535" s="2541"/>
      <c r="V535" s="2541"/>
      <c r="W535" s="2541"/>
      <c r="X535" s="2541"/>
      <c r="Y535" s="2541"/>
      <c r="Z535" s="1184"/>
      <c r="AA535" s="1185"/>
      <c r="AB535" s="1250" t="s">
        <v>1082</v>
      </c>
      <c r="AC535" s="1189"/>
      <c r="AD535" s="1189"/>
      <c r="AE535" s="1191"/>
      <c r="AF535" s="2534"/>
      <c r="AG535" s="2535"/>
      <c r="AH535" s="2535"/>
      <c r="AI535" s="2724"/>
      <c r="AJ535" s="2535"/>
      <c r="AK535" s="2535"/>
      <c r="AL535" s="1994"/>
      <c r="AM535" s="1831"/>
      <c r="AN535" s="1831"/>
      <c r="AO535" s="1831"/>
      <c r="AP535" s="1831"/>
      <c r="AQ535" s="1831"/>
      <c r="AR535" s="1831"/>
      <c r="AS535" s="1831"/>
      <c r="AT535" s="1831"/>
      <c r="AU535" s="1831"/>
      <c r="AV535" s="1831"/>
      <c r="AW535" s="1831"/>
      <c r="AX535" s="1831"/>
      <c r="AY535" s="1831"/>
      <c r="AZ535" s="1831"/>
      <c r="BA535" s="1831"/>
      <c r="BB535" s="1831"/>
      <c r="BC535" s="1831"/>
      <c r="BD535" s="1831"/>
      <c r="BE535" s="1831"/>
      <c r="BF535" s="1831"/>
      <c r="BG535" s="1644"/>
    </row>
    <row customHeight="1" ht="11.25">
      <c r="A536" s="1175" t="s">
        <v>1036</v>
      </c>
      <c r="B536" s="1175"/>
      <c r="C536" s="1175"/>
      <c r="D536" s="1169"/>
      <c r="E536" s="1179"/>
      <c r="F536" s="1837"/>
      <c r="G536" s="1838"/>
      <c r="H536" s="2543" t="s">
        <v>1292</v>
      </c>
      <c r="I536" s="2544"/>
      <c r="J536" s="2727"/>
      <c r="K536" s="2545"/>
      <c r="L536" s="2135"/>
      <c r="M536" s="2136"/>
      <c r="N536" s="1184"/>
      <c r="O536" s="1185"/>
      <c r="P536" s="1177" t="s">
        <v>1083</v>
      </c>
      <c r="Q536" s="1185"/>
      <c r="R536" s="1185"/>
      <c r="S536" s="1185"/>
      <c r="T536" s="1185"/>
      <c r="U536" s="1185"/>
      <c r="V536" s="1185"/>
      <c r="W536" s="1185"/>
      <c r="X536" s="1185"/>
      <c r="Y536" s="1185"/>
      <c r="Z536" s="1185"/>
      <c r="AA536" s="1185"/>
      <c r="AB536" s="1185"/>
      <c r="AC536" s="1185"/>
      <c r="AD536" s="1185"/>
      <c r="AE536" s="1192"/>
      <c r="AF536" s="2534"/>
      <c r="AG536" s="2535"/>
      <c r="AH536" s="2535"/>
      <c r="AI536" s="2724"/>
      <c r="AJ536" s="2535"/>
      <c r="AK536" s="2535"/>
      <c r="AL536" s="1994"/>
      <c r="AM536" s="1831"/>
      <c r="AN536" s="1831"/>
      <c r="AO536" s="1831"/>
      <c r="AP536" s="1831"/>
      <c r="AQ536" s="1831"/>
      <c r="AR536" s="1831"/>
      <c r="AS536" s="1831"/>
      <c r="AT536" s="1831"/>
      <c r="AU536" s="1831"/>
      <c r="AV536" s="1831"/>
      <c r="AW536" s="1831"/>
      <c r="AX536" s="1831"/>
      <c r="AY536" s="1831"/>
      <c r="AZ536" s="1831"/>
      <c r="BA536" s="1831"/>
      <c r="BB536" s="1831"/>
      <c r="BC536" s="1831"/>
      <c r="BD536" s="1831"/>
      <c r="BE536" s="1831"/>
      <c r="BF536" s="1831"/>
      <c r="BG536" s="1644"/>
    </row>
    <row customHeight="1" ht="11.25">
      <c r="A537" s="1175" t="s">
        <v>1036</v>
      </c>
      <c r="B537" s="1175" t="s">
        <v>22</v>
      </c>
      <c r="C537" s="1175"/>
      <c r="D537" s="1169"/>
      <c r="E537" s="1179"/>
      <c r="F537" s="1837"/>
      <c r="G537" s="692" t="s">
        <v>104</v>
      </c>
      <c r="H537" s="2543" t="s">
        <v>1296</v>
      </c>
      <c r="I537" s="2544" t="s">
        <v>1143</v>
      </c>
      <c r="J537" s="2727" t="s">
        <v>22</v>
      </c>
      <c r="K537" s="2545" t="s">
        <v>1297</v>
      </c>
      <c r="L537" s="2135" t="s">
        <v>19</v>
      </c>
      <c r="M537" s="2136"/>
      <c r="N537" s="1992"/>
      <c r="O537" s="1186" t="s">
        <v>391</v>
      </c>
      <c r="P537" s="1187"/>
      <c r="Q537" s="1187"/>
      <c r="R537" s="1187"/>
      <c r="S537" s="1187"/>
      <c r="T537" s="1187"/>
      <c r="U537" s="1187"/>
      <c r="V537" s="1187"/>
      <c r="W537" s="1187"/>
      <c r="X537" s="1187"/>
      <c r="Y537" s="1187"/>
      <c r="Z537" s="1187"/>
      <c r="AA537" s="1187"/>
      <c r="AB537" s="1187"/>
      <c r="AC537" s="1187"/>
      <c r="AD537" s="1187"/>
      <c r="AE537" s="1187"/>
      <c r="AF537" s="2534">
        <v>3</v>
      </c>
      <c r="AG537" s="2535" t="s">
        <v>1072</v>
      </c>
      <c r="AH537" s="2535" t="s">
        <v>1105</v>
      </c>
      <c r="AI537" s="2724"/>
      <c r="AJ537" s="2535" t="s">
        <v>1074</v>
      </c>
      <c r="AK537" s="2535" t="s">
        <v>1074</v>
      </c>
      <c r="AL537" s="1994"/>
      <c r="AM537" s="1831"/>
      <c r="AN537" s="1831"/>
      <c r="AO537" s="1831"/>
      <c r="AP537" s="1831"/>
      <c r="AQ537" s="1831"/>
      <c r="AR537" s="1831"/>
      <c r="AS537" s="1831"/>
      <c r="AT537" s="1831"/>
      <c r="AU537" s="1831"/>
      <c r="AV537" s="1831"/>
      <c r="AW537" s="1831"/>
      <c r="AX537" s="1831"/>
      <c r="AY537" s="1831"/>
      <c r="AZ537" s="1831"/>
      <c r="BA537" s="1831"/>
      <c r="BB537" s="1831"/>
      <c r="BC537" s="1831"/>
      <c r="BD537" s="1831"/>
      <c r="BE537" s="1831"/>
      <c r="BF537" s="1831"/>
      <c r="BG537" s="1644"/>
    </row>
    <row customHeight="1" ht="11.25">
      <c r="A538" s="1175" t="s">
        <v>1036</v>
      </c>
      <c r="B538" s="1175"/>
      <c r="C538" s="1175"/>
      <c r="D538" s="1169"/>
      <c r="E538" s="1179"/>
      <c r="F538" s="1837"/>
      <c r="G538" s="1838"/>
      <c r="H538" s="2543" t="s">
        <v>1294</v>
      </c>
      <c r="I538" s="2544"/>
      <c r="J538" s="2727"/>
      <c r="K538" s="2545"/>
      <c r="L538" s="2135"/>
      <c r="M538" s="2136"/>
      <c r="N538" s="2536"/>
      <c r="O538" s="2537">
        <v>1</v>
      </c>
      <c r="P538" s="2538" t="s">
        <v>63</v>
      </c>
      <c r="Q538" s="2725" t="s">
        <v>1106</v>
      </c>
      <c r="R538" s="2726" t="s">
        <v>1076</v>
      </c>
      <c r="S538" s="2726" t="s">
        <v>100</v>
      </c>
      <c r="T538" s="2726" t="s">
        <v>100</v>
      </c>
      <c r="U538" s="2726" t="s">
        <v>101</v>
      </c>
      <c r="V538" s="2726" t="s">
        <v>1107</v>
      </c>
      <c r="W538" s="2726" t="s">
        <v>1108</v>
      </c>
      <c r="X538" s="2726" t="s">
        <v>1109</v>
      </c>
      <c r="Y538" s="2726" t="s">
        <v>1110</v>
      </c>
      <c r="Z538" s="1184"/>
      <c r="AA538" s="1185"/>
      <c r="AB538" s="1185"/>
      <c r="AC538" s="1189"/>
      <c r="AD538" s="1189"/>
      <c r="AE538" s="1190"/>
      <c r="AF538" s="2534"/>
      <c r="AG538" s="2535"/>
      <c r="AH538" s="2535"/>
      <c r="AI538" s="2724"/>
      <c r="AJ538" s="2535"/>
      <c r="AK538" s="2535"/>
      <c r="AL538" s="1994"/>
      <c r="AM538" s="1831"/>
      <c r="AN538" s="1831"/>
      <c r="AO538" s="1831"/>
      <c r="AP538" s="1831"/>
      <c r="AQ538" s="1831"/>
      <c r="AR538" s="1831"/>
      <c r="AS538" s="1831"/>
      <c r="AT538" s="1831"/>
      <c r="AU538" s="1831"/>
      <c r="AV538" s="1831"/>
      <c r="AW538" s="1831"/>
      <c r="AX538" s="1831"/>
      <c r="AY538" s="1831"/>
      <c r="AZ538" s="1831"/>
      <c r="BA538" s="1831"/>
      <c r="BB538" s="1831"/>
      <c r="BC538" s="1831"/>
      <c r="BD538" s="1831"/>
      <c r="BE538" s="1831"/>
      <c r="BF538" s="1831"/>
      <c r="BG538" s="1644"/>
    </row>
    <row customHeight="1" ht="11.25">
      <c r="A539" s="1175" t="s">
        <v>1036</v>
      </c>
      <c r="B539" s="1175"/>
      <c r="C539" s="1175"/>
      <c r="D539" s="1169"/>
      <c r="E539" s="1179"/>
      <c r="F539" s="1837"/>
      <c r="G539" s="1838"/>
      <c r="H539" s="2543" t="s">
        <v>1294</v>
      </c>
      <c r="I539" s="2544"/>
      <c r="J539" s="2727"/>
      <c r="K539" s="2545"/>
      <c r="L539" s="2135"/>
      <c r="M539" s="2136"/>
      <c r="N539" s="2536"/>
      <c r="O539" s="2537"/>
      <c r="P539" s="2539"/>
      <c r="Q539" s="2725"/>
      <c r="R539" s="2541"/>
      <c r="S539" s="2542"/>
      <c r="T539" s="2541"/>
      <c r="U539" s="2541"/>
      <c r="V539" s="2541"/>
      <c r="W539" s="2541"/>
      <c r="X539" s="2541"/>
      <c r="Y539" s="2541"/>
      <c r="Z539" s="1836"/>
      <c r="AA539" s="1802">
        <v>1</v>
      </c>
      <c r="AB539" s="1188" t="s">
        <v>1081</v>
      </c>
      <c r="AC539" s="1178">
        <v>630</v>
      </c>
      <c r="AD539" s="1188" t="str">
        <f>AB539</f>
        <v>      Амортизационные отчисления с выделением результатов переоценки основных средств и нематериальных активов</v>
      </c>
      <c r="AE539" s="1178">
        <v>0</v>
      </c>
      <c r="AF539" s="2534"/>
      <c r="AG539" s="2535"/>
      <c r="AH539" s="2535"/>
      <c r="AI539" s="2724"/>
      <c r="AJ539" s="2535"/>
      <c r="AK539" s="2535"/>
      <c r="AL539" s="1994"/>
      <c r="AM539" s="1831"/>
      <c r="AN539" s="1831"/>
      <c r="AO539" s="1831"/>
      <c r="AP539" s="1831"/>
      <c r="AQ539" s="1831"/>
      <c r="AR539" s="1831"/>
      <c r="AS539" s="1831"/>
      <c r="AT539" s="1831"/>
      <c r="AU539" s="1831"/>
      <c r="AV539" s="1831"/>
      <c r="AW539" s="1831"/>
      <c r="AX539" s="1831"/>
      <c r="AY539" s="1831"/>
      <c r="AZ539" s="1831"/>
      <c r="BA539" s="1831"/>
      <c r="BB539" s="1831"/>
      <c r="BC539" s="1831"/>
      <c r="BD539" s="1831"/>
      <c r="BE539" s="1831"/>
      <c r="BF539" s="1831"/>
      <c r="BG539" s="1644"/>
    </row>
    <row customHeight="1" ht="11.25">
      <c r="A540" s="1175" t="s">
        <v>1036</v>
      </c>
      <c r="B540" s="1175"/>
      <c r="C540" s="1175"/>
      <c r="D540" s="1169"/>
      <c r="E540" s="1179"/>
      <c r="F540" s="1838"/>
      <c r="G540" s="1838"/>
      <c r="H540" s="1838"/>
      <c r="I540" s="1838"/>
      <c r="J540" s="1838"/>
      <c r="K540" s="1838"/>
      <c r="L540" s="1838"/>
      <c r="M540" s="1838"/>
      <c r="N540" s="1838"/>
      <c r="O540" s="1838"/>
      <c r="P540" s="1838"/>
      <c r="Q540" s="1838"/>
      <c r="R540" s="1838"/>
      <c r="S540" s="1838"/>
      <c r="T540" s="1838"/>
      <c r="U540" s="1838"/>
      <c r="V540" s="1838"/>
      <c r="W540" s="1838"/>
      <c r="X540" s="1838"/>
      <c r="Y540" s="1838"/>
      <c r="Z540" s="692" t="s">
        <v>104</v>
      </c>
      <c r="AA540" s="1822" t="s">
        <v>103</v>
      </c>
      <c r="AB540" s="1188" t="s">
        <v>1091</v>
      </c>
      <c r="AC540" s="1178">
        <v>5670</v>
      </c>
      <c r="AD540" s="1188" t="str">
        <f>AB540</f>
        <v>  Прочие собственные средства</v>
      </c>
      <c r="AE540" s="1178">
        <v>0</v>
      </c>
      <c r="AF540" s="2095"/>
      <c r="AG540" s="1767"/>
      <c r="AH540" s="1767"/>
      <c r="AI540" s="2728"/>
      <c r="AJ540" s="1767"/>
      <c r="AK540" s="1993"/>
      <c r="AL540" s="1994"/>
      <c r="AM540" s="1831"/>
      <c r="AN540" s="1831"/>
      <c r="AO540" s="1831"/>
      <c r="AP540" s="1831"/>
      <c r="AQ540" s="1831"/>
      <c r="AR540" s="1831"/>
      <c r="AS540" s="1831"/>
      <c r="AT540" s="1831"/>
      <c r="AU540" s="1831"/>
      <c r="AV540" s="1831"/>
      <c r="AW540" s="1831"/>
      <c r="AX540" s="1831"/>
      <c r="AY540" s="1831"/>
      <c r="AZ540" s="1831"/>
      <c r="BA540" s="1831"/>
      <c r="BB540" s="1831"/>
      <c r="BC540" s="1831"/>
      <c r="BD540" s="1831"/>
      <c r="BE540" s="1831"/>
      <c r="BF540" s="1831"/>
      <c r="BG540" s="1644"/>
    </row>
    <row customHeight="1" ht="11.25">
      <c r="A541" s="1175" t="s">
        <v>1036</v>
      </c>
      <c r="B541" s="1175"/>
      <c r="C541" s="1175"/>
      <c r="D541" s="1169"/>
      <c r="E541" s="1179"/>
      <c r="F541" s="1837"/>
      <c r="G541" s="1838"/>
      <c r="H541" s="2543" t="s">
        <v>1294</v>
      </c>
      <c r="I541" s="2544"/>
      <c r="J541" s="2727"/>
      <c r="K541" s="2545"/>
      <c r="L541" s="2135"/>
      <c r="M541" s="2136"/>
      <c r="N541" s="2536"/>
      <c r="O541" s="2537"/>
      <c r="P541" s="2540"/>
      <c r="Q541" s="2725"/>
      <c r="R541" s="2541"/>
      <c r="S541" s="2542"/>
      <c r="T541" s="2541"/>
      <c r="U541" s="2541"/>
      <c r="V541" s="2541"/>
      <c r="W541" s="2541"/>
      <c r="X541" s="2541"/>
      <c r="Y541" s="2541"/>
      <c r="Z541" s="1184"/>
      <c r="AA541" s="1185"/>
      <c r="AB541" s="1250" t="s">
        <v>1082</v>
      </c>
      <c r="AC541" s="1189"/>
      <c r="AD541" s="1189"/>
      <c r="AE541" s="1191"/>
      <c r="AF541" s="2534"/>
      <c r="AG541" s="2535"/>
      <c r="AH541" s="2535"/>
      <c r="AI541" s="2724"/>
      <c r="AJ541" s="2535"/>
      <c r="AK541" s="2535"/>
      <c r="AL541" s="1994"/>
      <c r="AM541" s="1831"/>
      <c r="AN541" s="1831"/>
      <c r="AO541" s="1831"/>
      <c r="AP541" s="1831"/>
      <c r="AQ541" s="1831"/>
      <c r="AR541" s="1831"/>
      <c r="AS541" s="1831"/>
      <c r="AT541" s="1831"/>
      <c r="AU541" s="1831"/>
      <c r="AV541" s="1831"/>
      <c r="AW541" s="1831"/>
      <c r="AX541" s="1831"/>
      <c r="AY541" s="1831"/>
      <c r="AZ541" s="1831"/>
      <c r="BA541" s="1831"/>
      <c r="BB541" s="1831"/>
      <c r="BC541" s="1831"/>
      <c r="BD541" s="1831"/>
      <c r="BE541" s="1831"/>
      <c r="BF541" s="1831"/>
      <c r="BG541" s="1644"/>
    </row>
    <row customHeight="1" ht="11.25">
      <c r="A542" s="1175" t="s">
        <v>1036</v>
      </c>
      <c r="B542" s="1175"/>
      <c r="C542" s="1175"/>
      <c r="D542" s="1169"/>
      <c r="E542" s="1179"/>
      <c r="F542" s="1837"/>
      <c r="G542" s="1838"/>
      <c r="H542" s="2543" t="s">
        <v>1294</v>
      </c>
      <c r="I542" s="2544"/>
      <c r="J542" s="2727"/>
      <c r="K542" s="2545"/>
      <c r="L542" s="2135"/>
      <c r="M542" s="2136"/>
      <c r="N542" s="1184"/>
      <c r="O542" s="1185"/>
      <c r="P542" s="1177" t="s">
        <v>1083</v>
      </c>
      <c r="Q542" s="1185"/>
      <c r="R542" s="1185"/>
      <c r="S542" s="1185"/>
      <c r="T542" s="1185"/>
      <c r="U542" s="1185"/>
      <c r="V542" s="1185"/>
      <c r="W542" s="1185"/>
      <c r="X542" s="1185"/>
      <c r="Y542" s="1185"/>
      <c r="Z542" s="1185"/>
      <c r="AA542" s="1185"/>
      <c r="AB542" s="1185"/>
      <c r="AC542" s="1185"/>
      <c r="AD542" s="1185"/>
      <c r="AE542" s="1192"/>
      <c r="AF542" s="2534"/>
      <c r="AG542" s="2535"/>
      <c r="AH542" s="2535"/>
      <c r="AI542" s="2724"/>
      <c r="AJ542" s="2535"/>
      <c r="AK542" s="2535"/>
      <c r="AL542" s="1994"/>
      <c r="AM542" s="1831"/>
      <c r="AN542" s="1831"/>
      <c r="AO542" s="1831"/>
      <c r="AP542" s="1831"/>
      <c r="AQ542" s="1831"/>
      <c r="AR542" s="1831"/>
      <c r="AS542" s="1831"/>
      <c r="AT542" s="1831"/>
      <c r="AU542" s="1831"/>
      <c r="AV542" s="1831"/>
      <c r="AW542" s="1831"/>
      <c r="AX542" s="1831"/>
      <c r="AY542" s="1831"/>
      <c r="AZ542" s="1831"/>
      <c r="BA542" s="1831"/>
      <c r="BB542" s="1831"/>
      <c r="BC542" s="1831"/>
      <c r="BD542" s="1831"/>
      <c r="BE542" s="1831"/>
      <c r="BF542" s="1831"/>
      <c r="BG542" s="1644"/>
    </row>
    <row customHeight="1" ht="11.25">
      <c r="A543" s="1175" t="s">
        <v>1036</v>
      </c>
      <c r="B543" s="1175" t="s">
        <v>22</v>
      </c>
      <c r="C543" s="1175"/>
      <c r="D543" s="1169"/>
      <c r="E543" s="1179"/>
      <c r="F543" s="1837"/>
      <c r="G543" s="692" t="s">
        <v>104</v>
      </c>
      <c r="H543" s="2543" t="s">
        <v>1298</v>
      </c>
      <c r="I543" s="2544" t="s">
        <v>1147</v>
      </c>
      <c r="J543" s="2727" t="s">
        <v>22</v>
      </c>
      <c r="K543" s="2545" t="s">
        <v>1299</v>
      </c>
      <c r="L543" s="2135" t="s">
        <v>19</v>
      </c>
      <c r="M543" s="2136"/>
      <c r="N543" s="1992"/>
      <c r="O543" s="1186" t="s">
        <v>391</v>
      </c>
      <c r="P543" s="1187"/>
      <c r="Q543" s="1187"/>
      <c r="R543" s="1187"/>
      <c r="S543" s="1187"/>
      <c r="T543" s="1187"/>
      <c r="U543" s="1187"/>
      <c r="V543" s="1187"/>
      <c r="W543" s="1187"/>
      <c r="X543" s="1187"/>
      <c r="Y543" s="1187"/>
      <c r="Z543" s="1187"/>
      <c r="AA543" s="1187"/>
      <c r="AB543" s="1187"/>
      <c r="AC543" s="1187"/>
      <c r="AD543" s="1187"/>
      <c r="AE543" s="1187"/>
      <c r="AF543" s="2534">
        <v>3</v>
      </c>
      <c r="AG543" s="2535" t="s">
        <v>1072</v>
      </c>
      <c r="AH543" s="2535" t="s">
        <v>1105</v>
      </c>
      <c r="AI543" s="2724"/>
      <c r="AJ543" s="2535" t="s">
        <v>1074</v>
      </c>
      <c r="AK543" s="2535" t="s">
        <v>1074</v>
      </c>
      <c r="AL543" s="1994"/>
      <c r="AM543" s="1831"/>
      <c r="AN543" s="1831"/>
      <c r="AO543" s="1831"/>
      <c r="AP543" s="1831"/>
      <c r="AQ543" s="1831"/>
      <c r="AR543" s="1831"/>
      <c r="AS543" s="1831"/>
      <c r="AT543" s="1831"/>
      <c r="AU543" s="1831"/>
      <c r="AV543" s="1831"/>
      <c r="AW543" s="1831"/>
      <c r="AX543" s="1831"/>
      <c r="AY543" s="1831"/>
      <c r="AZ543" s="1831"/>
      <c r="BA543" s="1831"/>
      <c r="BB543" s="1831"/>
      <c r="BC543" s="1831"/>
      <c r="BD543" s="1831"/>
      <c r="BE543" s="1831"/>
      <c r="BF543" s="1831"/>
      <c r="BG543" s="1644"/>
    </row>
    <row customHeight="1" ht="11.25">
      <c r="A544" s="1175" t="s">
        <v>1036</v>
      </c>
      <c r="B544" s="1175"/>
      <c r="C544" s="1175"/>
      <c r="D544" s="1169"/>
      <c r="E544" s="1179"/>
      <c r="F544" s="1837"/>
      <c r="G544" s="1838"/>
      <c r="H544" s="2543" t="s">
        <v>1296</v>
      </c>
      <c r="I544" s="2544"/>
      <c r="J544" s="2727"/>
      <c r="K544" s="2545"/>
      <c r="L544" s="2135"/>
      <c r="M544" s="2136"/>
      <c r="N544" s="2536"/>
      <c r="O544" s="2537">
        <v>1</v>
      </c>
      <c r="P544" s="2538" t="s">
        <v>63</v>
      </c>
      <c r="Q544" s="2725" t="s">
        <v>1106</v>
      </c>
      <c r="R544" s="2726" t="s">
        <v>1076</v>
      </c>
      <c r="S544" s="2726" t="s">
        <v>100</v>
      </c>
      <c r="T544" s="2726" t="s">
        <v>100</v>
      </c>
      <c r="U544" s="2726" t="s">
        <v>101</v>
      </c>
      <c r="V544" s="2726" t="s">
        <v>1107</v>
      </c>
      <c r="W544" s="2726" t="s">
        <v>1108</v>
      </c>
      <c r="X544" s="2726" t="s">
        <v>1109</v>
      </c>
      <c r="Y544" s="2726" t="s">
        <v>1110</v>
      </c>
      <c r="Z544" s="1184"/>
      <c r="AA544" s="1185"/>
      <c r="AB544" s="1185"/>
      <c r="AC544" s="1189"/>
      <c r="AD544" s="1189"/>
      <c r="AE544" s="1190"/>
      <c r="AF544" s="2534"/>
      <c r="AG544" s="2535"/>
      <c r="AH544" s="2535"/>
      <c r="AI544" s="2724"/>
      <c r="AJ544" s="2535"/>
      <c r="AK544" s="2535"/>
      <c r="AL544" s="1994"/>
      <c r="AM544" s="1831"/>
      <c r="AN544" s="1831"/>
      <c r="AO544" s="1831"/>
      <c r="AP544" s="1831"/>
      <c r="AQ544" s="1831"/>
      <c r="AR544" s="1831"/>
      <c r="AS544" s="1831"/>
      <c r="AT544" s="1831"/>
      <c r="AU544" s="1831"/>
      <c r="AV544" s="1831"/>
      <c r="AW544" s="1831"/>
      <c r="AX544" s="1831"/>
      <c r="AY544" s="1831"/>
      <c r="AZ544" s="1831"/>
      <c r="BA544" s="1831"/>
      <c r="BB544" s="1831"/>
      <c r="BC544" s="1831"/>
      <c r="BD544" s="1831"/>
      <c r="BE544" s="1831"/>
      <c r="BF544" s="1831"/>
      <c r="BG544" s="1644"/>
    </row>
    <row customHeight="1" ht="11.25">
      <c r="A545" s="1175" t="s">
        <v>1036</v>
      </c>
      <c r="B545" s="1175"/>
      <c r="C545" s="1175"/>
      <c r="D545" s="1169"/>
      <c r="E545" s="1179"/>
      <c r="F545" s="1837"/>
      <c r="G545" s="1838"/>
      <c r="H545" s="2543" t="s">
        <v>1296</v>
      </c>
      <c r="I545" s="2544"/>
      <c r="J545" s="2727"/>
      <c r="K545" s="2545"/>
      <c r="L545" s="2135"/>
      <c r="M545" s="2136"/>
      <c r="N545" s="2536"/>
      <c r="O545" s="2537"/>
      <c r="P545" s="2539"/>
      <c r="Q545" s="2725"/>
      <c r="R545" s="2541"/>
      <c r="S545" s="2542"/>
      <c r="T545" s="2541"/>
      <c r="U545" s="2541"/>
      <c r="V545" s="2541"/>
      <c r="W545" s="2541"/>
      <c r="X545" s="2541"/>
      <c r="Y545" s="2541"/>
      <c r="Z545" s="1836"/>
      <c r="AA545" s="1802">
        <v>1</v>
      </c>
      <c r="AB545" s="1188" t="s">
        <v>1081</v>
      </c>
      <c r="AC545" s="1178">
        <v>5347.39</v>
      </c>
      <c r="AD545" s="1188" t="str">
        <f>AB545</f>
        <v>      Амортизационные отчисления с выделением результатов переоценки основных средств и нематериальных активов</v>
      </c>
      <c r="AE545" s="1178">
        <v>0</v>
      </c>
      <c r="AF545" s="2534"/>
      <c r="AG545" s="2535"/>
      <c r="AH545" s="2535"/>
      <c r="AI545" s="2724"/>
      <c r="AJ545" s="2535"/>
      <c r="AK545" s="2535"/>
      <c r="AL545" s="1994"/>
      <c r="AM545" s="1831"/>
      <c r="AN545" s="1831"/>
      <c r="AO545" s="1831"/>
      <c r="AP545" s="1831"/>
      <c r="AQ545" s="1831"/>
      <c r="AR545" s="1831"/>
      <c r="AS545" s="1831"/>
      <c r="AT545" s="1831"/>
      <c r="AU545" s="1831"/>
      <c r="AV545" s="1831"/>
      <c r="AW545" s="1831"/>
      <c r="AX545" s="1831"/>
      <c r="AY545" s="1831"/>
      <c r="AZ545" s="1831"/>
      <c r="BA545" s="1831"/>
      <c r="BB545" s="1831"/>
      <c r="BC545" s="1831"/>
      <c r="BD545" s="1831"/>
      <c r="BE545" s="1831"/>
      <c r="BF545" s="1831"/>
      <c r="BG545" s="1644"/>
    </row>
    <row customHeight="1" ht="11.25">
      <c r="A546" s="1175" t="s">
        <v>1036</v>
      </c>
      <c r="B546" s="1175"/>
      <c r="C546" s="1175"/>
      <c r="D546" s="1169"/>
      <c r="E546" s="1179"/>
      <c r="F546" s="1838"/>
      <c r="G546" s="1838"/>
      <c r="H546" s="1838"/>
      <c r="I546" s="1838"/>
      <c r="J546" s="1838"/>
      <c r="K546" s="1838"/>
      <c r="L546" s="1838"/>
      <c r="M546" s="1838"/>
      <c r="N546" s="1838"/>
      <c r="O546" s="1838"/>
      <c r="P546" s="1838"/>
      <c r="Q546" s="1838"/>
      <c r="R546" s="1838"/>
      <c r="S546" s="1838"/>
      <c r="T546" s="1838"/>
      <c r="U546" s="1838"/>
      <c r="V546" s="1838"/>
      <c r="W546" s="1838"/>
      <c r="X546" s="1838"/>
      <c r="Y546" s="1838"/>
      <c r="Z546" s="692" t="s">
        <v>104</v>
      </c>
      <c r="AA546" s="1822" t="s">
        <v>103</v>
      </c>
      <c r="AB546" s="1188" t="s">
        <v>1091</v>
      </c>
      <c r="AC546" s="1178">
        <v>48126.47</v>
      </c>
      <c r="AD546" s="1188" t="str">
        <f>AB546</f>
        <v>  Прочие собственные средства</v>
      </c>
      <c r="AE546" s="1178">
        <v>0</v>
      </c>
      <c r="AF546" s="2095"/>
      <c r="AG546" s="1767"/>
      <c r="AH546" s="1767"/>
      <c r="AI546" s="2728"/>
      <c r="AJ546" s="1767"/>
      <c r="AK546" s="1993"/>
      <c r="AL546" s="1994"/>
      <c r="AM546" s="1831"/>
      <c r="AN546" s="1831"/>
      <c r="AO546" s="1831"/>
      <c r="AP546" s="1831"/>
      <c r="AQ546" s="1831"/>
      <c r="AR546" s="1831"/>
      <c r="AS546" s="1831"/>
      <c r="AT546" s="1831"/>
      <c r="AU546" s="1831"/>
      <c r="AV546" s="1831"/>
      <c r="AW546" s="1831"/>
      <c r="AX546" s="1831"/>
      <c r="AY546" s="1831"/>
      <c r="AZ546" s="1831"/>
      <c r="BA546" s="1831"/>
      <c r="BB546" s="1831"/>
      <c r="BC546" s="1831"/>
      <c r="BD546" s="1831"/>
      <c r="BE546" s="1831"/>
      <c r="BF546" s="1831"/>
      <c r="BG546" s="1644"/>
    </row>
    <row customHeight="1" ht="11.25">
      <c r="A547" s="1175" t="s">
        <v>1036</v>
      </c>
      <c r="B547" s="1175"/>
      <c r="C547" s="1175"/>
      <c r="D547" s="1169"/>
      <c r="E547" s="1179"/>
      <c r="F547" s="1837"/>
      <c r="G547" s="1838"/>
      <c r="H547" s="2543" t="s">
        <v>1296</v>
      </c>
      <c r="I547" s="2544"/>
      <c r="J547" s="2727"/>
      <c r="K547" s="2545"/>
      <c r="L547" s="2135"/>
      <c r="M547" s="2136"/>
      <c r="N547" s="2536"/>
      <c r="O547" s="2537"/>
      <c r="P547" s="2540"/>
      <c r="Q547" s="2725"/>
      <c r="R547" s="2541"/>
      <c r="S547" s="2542"/>
      <c r="T547" s="2541"/>
      <c r="U547" s="2541"/>
      <c r="V547" s="2541"/>
      <c r="W547" s="2541"/>
      <c r="X547" s="2541"/>
      <c r="Y547" s="2541"/>
      <c r="Z547" s="1184"/>
      <c r="AA547" s="1185"/>
      <c r="AB547" s="1250" t="s">
        <v>1082</v>
      </c>
      <c r="AC547" s="1189"/>
      <c r="AD547" s="1189"/>
      <c r="AE547" s="1191"/>
      <c r="AF547" s="2534"/>
      <c r="AG547" s="2535"/>
      <c r="AH547" s="2535"/>
      <c r="AI547" s="2724"/>
      <c r="AJ547" s="2535"/>
      <c r="AK547" s="2535"/>
      <c r="AL547" s="1994"/>
      <c r="AM547" s="1831"/>
      <c r="AN547" s="1831"/>
      <c r="AO547" s="1831"/>
      <c r="AP547" s="1831"/>
      <c r="AQ547" s="1831"/>
      <c r="AR547" s="1831"/>
      <c r="AS547" s="1831"/>
      <c r="AT547" s="1831"/>
      <c r="AU547" s="1831"/>
      <c r="AV547" s="1831"/>
      <c r="AW547" s="1831"/>
      <c r="AX547" s="1831"/>
      <c r="AY547" s="1831"/>
      <c r="AZ547" s="1831"/>
      <c r="BA547" s="1831"/>
      <c r="BB547" s="1831"/>
      <c r="BC547" s="1831"/>
      <c r="BD547" s="1831"/>
      <c r="BE547" s="1831"/>
      <c r="BF547" s="1831"/>
      <c r="BG547" s="1644"/>
    </row>
    <row customHeight="1" ht="11.25">
      <c r="A548" s="1175" t="s">
        <v>1036</v>
      </c>
      <c r="B548" s="1175"/>
      <c r="C548" s="1175"/>
      <c r="D548" s="1169"/>
      <c r="E548" s="1179"/>
      <c r="F548" s="1837"/>
      <c r="G548" s="1838"/>
      <c r="H548" s="2543" t="s">
        <v>1296</v>
      </c>
      <c r="I548" s="2544"/>
      <c r="J548" s="2727"/>
      <c r="K548" s="2545"/>
      <c r="L548" s="2135"/>
      <c r="M548" s="2136"/>
      <c r="N548" s="1184"/>
      <c r="O548" s="1185"/>
      <c r="P548" s="1177" t="s">
        <v>1083</v>
      </c>
      <c r="Q548" s="1185"/>
      <c r="R548" s="1185"/>
      <c r="S548" s="1185"/>
      <c r="T548" s="1185"/>
      <c r="U548" s="1185"/>
      <c r="V548" s="1185"/>
      <c r="W548" s="1185"/>
      <c r="X548" s="1185"/>
      <c r="Y548" s="1185"/>
      <c r="Z548" s="1185"/>
      <c r="AA548" s="1185"/>
      <c r="AB548" s="1185"/>
      <c r="AC548" s="1185"/>
      <c r="AD548" s="1185"/>
      <c r="AE548" s="1192"/>
      <c r="AF548" s="2534"/>
      <c r="AG548" s="2535"/>
      <c r="AH548" s="2535"/>
      <c r="AI548" s="2724"/>
      <c r="AJ548" s="2535"/>
      <c r="AK548" s="2535"/>
      <c r="AL548" s="1994"/>
      <c r="AM548" s="1831"/>
      <c r="AN548" s="1831"/>
      <c r="AO548" s="1831"/>
      <c r="AP548" s="1831"/>
      <c r="AQ548" s="1831"/>
      <c r="AR548" s="1831"/>
      <c r="AS548" s="1831"/>
      <c r="AT548" s="1831"/>
      <c r="AU548" s="1831"/>
      <c r="AV548" s="1831"/>
      <c r="AW548" s="1831"/>
      <c r="AX548" s="1831"/>
      <c r="AY548" s="1831"/>
      <c r="AZ548" s="1831"/>
      <c r="BA548" s="1831"/>
      <c r="BB548" s="1831"/>
      <c r="BC548" s="1831"/>
      <c r="BD548" s="1831"/>
      <c r="BE548" s="1831"/>
      <c r="BF548" s="1831"/>
      <c r="BG548" s="1644"/>
    </row>
    <row customHeight="1" ht="11.25">
      <c r="A549" s="1175" t="s">
        <v>1036</v>
      </c>
      <c r="B549" s="1175" t="s">
        <v>22</v>
      </c>
      <c r="C549" s="1175"/>
      <c r="D549" s="1169"/>
      <c r="E549" s="1179"/>
      <c r="F549" s="1837"/>
      <c r="G549" s="692" t="s">
        <v>104</v>
      </c>
      <c r="H549" s="2543" t="s">
        <v>1300</v>
      </c>
      <c r="I549" s="2544" t="s">
        <v>1137</v>
      </c>
      <c r="J549" s="2727" t="s">
        <v>22</v>
      </c>
      <c r="K549" s="2545" t="s">
        <v>1301</v>
      </c>
      <c r="L549" s="2135" t="s">
        <v>19</v>
      </c>
      <c r="M549" s="2136"/>
      <c r="N549" s="1992"/>
      <c r="O549" s="1186" t="s">
        <v>391</v>
      </c>
      <c r="P549" s="1187"/>
      <c r="Q549" s="1187"/>
      <c r="R549" s="1187"/>
      <c r="S549" s="1187"/>
      <c r="T549" s="1187"/>
      <c r="U549" s="1187"/>
      <c r="V549" s="1187"/>
      <c r="W549" s="1187"/>
      <c r="X549" s="1187"/>
      <c r="Y549" s="1187"/>
      <c r="Z549" s="1187"/>
      <c r="AA549" s="1187"/>
      <c r="AB549" s="1187"/>
      <c r="AC549" s="1187"/>
      <c r="AD549" s="1187"/>
      <c r="AE549" s="1187"/>
      <c r="AF549" s="2534">
        <v>5</v>
      </c>
      <c r="AG549" s="2535" t="s">
        <v>1072</v>
      </c>
      <c r="AH549" s="2535" t="s">
        <v>1163</v>
      </c>
      <c r="AI549" s="2906">
        <v>1</v>
      </c>
      <c r="AJ549" s="2535" t="s">
        <v>1072</v>
      </c>
      <c r="AK549" s="2535" t="s">
        <v>1085</v>
      </c>
      <c r="AL549" s="1994"/>
      <c r="AM549" s="1831"/>
      <c r="AN549" s="1831"/>
      <c r="AO549" s="1831"/>
      <c r="AP549" s="1831"/>
      <c r="AQ549" s="1831"/>
      <c r="AR549" s="1831"/>
      <c r="AS549" s="1831"/>
      <c r="AT549" s="1831"/>
      <c r="AU549" s="1831"/>
      <c r="AV549" s="1831"/>
      <c r="AW549" s="1831"/>
      <c r="AX549" s="1831"/>
      <c r="AY549" s="1831"/>
      <c r="AZ549" s="1831"/>
      <c r="BA549" s="1831"/>
      <c r="BB549" s="1831"/>
      <c r="BC549" s="1831"/>
      <c r="BD549" s="1831"/>
      <c r="BE549" s="1831"/>
      <c r="BF549" s="1831"/>
      <c r="BG549" s="1644"/>
    </row>
    <row customHeight="1" ht="11.25">
      <c r="A550" s="1175" t="s">
        <v>1036</v>
      </c>
      <c r="B550" s="1175"/>
      <c r="C550" s="1175"/>
      <c r="D550" s="1169"/>
      <c r="E550" s="1179"/>
      <c r="F550" s="1837"/>
      <c r="G550" s="1838"/>
      <c r="H550" s="2543" t="s">
        <v>1298</v>
      </c>
      <c r="I550" s="2544"/>
      <c r="J550" s="2727"/>
      <c r="K550" s="2545"/>
      <c r="L550" s="2135"/>
      <c r="M550" s="2136"/>
      <c r="N550" s="2536"/>
      <c r="O550" s="2537">
        <v>1</v>
      </c>
      <c r="P550" s="2538" t="s">
        <v>63</v>
      </c>
      <c r="Q550" s="2725" t="s">
        <v>1106</v>
      </c>
      <c r="R550" s="2726" t="s">
        <v>1076</v>
      </c>
      <c r="S550" s="2726" t="s">
        <v>100</v>
      </c>
      <c r="T550" s="2726" t="s">
        <v>100</v>
      </c>
      <c r="U550" s="2726" t="s">
        <v>101</v>
      </c>
      <c r="V550" s="2726" t="s">
        <v>1107</v>
      </c>
      <c r="W550" s="2726" t="s">
        <v>1108</v>
      </c>
      <c r="X550" s="2726" t="s">
        <v>1109</v>
      </c>
      <c r="Y550" s="2726" t="s">
        <v>1110</v>
      </c>
      <c r="Z550" s="1184"/>
      <c r="AA550" s="1185"/>
      <c r="AB550" s="1185"/>
      <c r="AC550" s="1189"/>
      <c r="AD550" s="1189"/>
      <c r="AE550" s="1190"/>
      <c r="AF550" s="2534"/>
      <c r="AG550" s="2535"/>
      <c r="AH550" s="2535"/>
      <c r="AI550" s="2906"/>
      <c r="AJ550" s="2535"/>
      <c r="AK550" s="2535"/>
      <c r="AL550" s="1994"/>
      <c r="AM550" s="1831"/>
      <c r="AN550" s="1831"/>
      <c r="AO550" s="1831"/>
      <c r="AP550" s="1831"/>
      <c r="AQ550" s="1831"/>
      <c r="AR550" s="1831"/>
      <c r="AS550" s="1831"/>
      <c r="AT550" s="1831"/>
      <c r="AU550" s="1831"/>
      <c r="AV550" s="1831"/>
      <c r="AW550" s="1831"/>
      <c r="AX550" s="1831"/>
      <c r="AY550" s="1831"/>
      <c r="AZ550" s="1831"/>
      <c r="BA550" s="1831"/>
      <c r="BB550" s="1831"/>
      <c r="BC550" s="1831"/>
      <c r="BD550" s="1831"/>
      <c r="BE550" s="1831"/>
      <c r="BF550" s="1831"/>
      <c r="BG550" s="1644"/>
    </row>
    <row customHeight="1" ht="11.25">
      <c r="A551" s="1175" t="s">
        <v>1036</v>
      </c>
      <c r="B551" s="1175"/>
      <c r="C551" s="1175"/>
      <c r="D551" s="1169"/>
      <c r="E551" s="1179"/>
      <c r="F551" s="1837"/>
      <c r="G551" s="1838"/>
      <c r="H551" s="2543" t="s">
        <v>1298</v>
      </c>
      <c r="I551" s="2544"/>
      <c r="J551" s="2727"/>
      <c r="K551" s="2545"/>
      <c r="L551" s="2135"/>
      <c r="M551" s="2136"/>
      <c r="N551" s="2536"/>
      <c r="O551" s="2537"/>
      <c r="P551" s="2539"/>
      <c r="Q551" s="2725"/>
      <c r="R551" s="2541"/>
      <c r="S551" s="2542"/>
      <c r="T551" s="2541"/>
      <c r="U551" s="2541"/>
      <c r="V551" s="2541"/>
      <c r="W551" s="2541"/>
      <c r="X551" s="2541"/>
      <c r="Y551" s="2541"/>
      <c r="Z551" s="1836"/>
      <c r="AA551" s="1802">
        <v>1</v>
      </c>
      <c r="AB551" s="1188" t="s">
        <v>1081</v>
      </c>
      <c r="AC551" s="1178">
        <v>202.5</v>
      </c>
      <c r="AD551" s="1188" t="str">
        <f>AB551</f>
        <v>      Амортизационные отчисления с выделением результатов переоценки основных средств и нематериальных активов</v>
      </c>
      <c r="AE551" s="1178">
        <v>202.5</v>
      </c>
      <c r="AF551" s="2534"/>
      <c r="AG551" s="2535"/>
      <c r="AH551" s="2535"/>
      <c r="AI551" s="2906"/>
      <c r="AJ551" s="2535"/>
      <c r="AK551" s="2535"/>
      <c r="AL551" s="1994"/>
      <c r="AM551" s="1831"/>
      <c r="AN551" s="1831"/>
      <c r="AO551" s="1831"/>
      <c r="AP551" s="1831"/>
      <c r="AQ551" s="1831"/>
      <c r="AR551" s="1831"/>
      <c r="AS551" s="1831"/>
      <c r="AT551" s="1831"/>
      <c r="AU551" s="1831"/>
      <c r="AV551" s="1831"/>
      <c r="AW551" s="1831"/>
      <c r="AX551" s="1831"/>
      <c r="AY551" s="1831"/>
      <c r="AZ551" s="1831"/>
      <c r="BA551" s="1831"/>
      <c r="BB551" s="1831"/>
      <c r="BC551" s="1831"/>
      <c r="BD551" s="1831"/>
      <c r="BE551" s="1831"/>
      <c r="BF551" s="1831"/>
      <c r="BG551" s="1644"/>
    </row>
    <row customHeight="1" ht="11.25">
      <c r="A552" s="1175" t="s">
        <v>1036</v>
      </c>
      <c r="B552" s="1175"/>
      <c r="C552" s="1175"/>
      <c r="D552" s="1169"/>
      <c r="E552" s="1179"/>
      <c r="F552" s="1838"/>
      <c r="G552" s="1838"/>
      <c r="H552" s="1838"/>
      <c r="I552" s="1838"/>
      <c r="J552" s="1838"/>
      <c r="K552" s="1838"/>
      <c r="L552" s="1838"/>
      <c r="M552" s="1838"/>
      <c r="N552" s="1838"/>
      <c r="O552" s="1838"/>
      <c r="P552" s="1838"/>
      <c r="Q552" s="1838"/>
      <c r="R552" s="1838"/>
      <c r="S552" s="1838"/>
      <c r="T552" s="1838"/>
      <c r="U552" s="1838"/>
      <c r="V552" s="1838"/>
      <c r="W552" s="1838"/>
      <c r="X552" s="1838"/>
      <c r="Y552" s="1838"/>
      <c r="Z552" s="692" t="s">
        <v>104</v>
      </c>
      <c r="AA552" s="1822" t="s">
        <v>103</v>
      </c>
      <c r="AB552" s="1188" t="s">
        <v>1091</v>
      </c>
      <c r="AC552" s="1178">
        <v>1822.5</v>
      </c>
      <c r="AD552" s="1188" t="str">
        <f>AB552</f>
        <v>  Прочие собственные средства</v>
      </c>
      <c r="AE552" s="1178">
        <v>624.52</v>
      </c>
      <c r="AF552" s="2095"/>
      <c r="AG552" s="1767"/>
      <c r="AH552" s="1767"/>
      <c r="AI552" s="2908"/>
      <c r="AJ552" s="1767"/>
      <c r="AK552" s="1993"/>
      <c r="AL552" s="1994"/>
      <c r="AM552" s="1831"/>
      <c r="AN552" s="1831"/>
      <c r="AO552" s="1831"/>
      <c r="AP552" s="1831"/>
      <c r="AQ552" s="1831"/>
      <c r="AR552" s="1831"/>
      <c r="AS552" s="1831"/>
      <c r="AT552" s="1831"/>
      <c r="AU552" s="1831"/>
      <c r="AV552" s="1831"/>
      <c r="AW552" s="1831"/>
      <c r="AX552" s="1831"/>
      <c r="AY552" s="1831"/>
      <c r="AZ552" s="1831"/>
      <c r="BA552" s="1831"/>
      <c r="BB552" s="1831"/>
      <c r="BC552" s="1831"/>
      <c r="BD552" s="1831"/>
      <c r="BE552" s="1831"/>
      <c r="BF552" s="1831"/>
      <c r="BG552" s="1644"/>
    </row>
    <row customHeight="1" ht="11.25">
      <c r="A553" s="1175" t="s">
        <v>1036</v>
      </c>
      <c r="B553" s="1175"/>
      <c r="C553" s="1175"/>
      <c r="D553" s="1169"/>
      <c r="E553" s="1179"/>
      <c r="F553" s="1837"/>
      <c r="G553" s="1838"/>
      <c r="H553" s="2543" t="s">
        <v>1298</v>
      </c>
      <c r="I553" s="2544"/>
      <c r="J553" s="2727"/>
      <c r="K553" s="2545"/>
      <c r="L553" s="2135"/>
      <c r="M553" s="2136"/>
      <c r="N553" s="2536"/>
      <c r="O553" s="2537"/>
      <c r="P553" s="2540"/>
      <c r="Q553" s="2725"/>
      <c r="R553" s="2541"/>
      <c r="S553" s="2542"/>
      <c r="T553" s="2541"/>
      <c r="U553" s="2541"/>
      <c r="V553" s="2541"/>
      <c r="W553" s="2541"/>
      <c r="X553" s="2541"/>
      <c r="Y553" s="2541"/>
      <c r="Z553" s="1184"/>
      <c r="AA553" s="1185"/>
      <c r="AB553" s="1250" t="s">
        <v>1082</v>
      </c>
      <c r="AC553" s="1189"/>
      <c r="AD553" s="1189"/>
      <c r="AE553" s="1191"/>
      <c r="AF553" s="2534"/>
      <c r="AG553" s="2535"/>
      <c r="AH553" s="2535"/>
      <c r="AI553" s="2906"/>
      <c r="AJ553" s="2535"/>
      <c r="AK553" s="2535"/>
      <c r="AL553" s="1994"/>
      <c r="AM553" s="1831"/>
      <c r="AN553" s="1831"/>
      <c r="AO553" s="1831"/>
      <c r="AP553" s="1831"/>
      <c r="AQ553" s="1831"/>
      <c r="AR553" s="1831"/>
      <c r="AS553" s="1831"/>
      <c r="AT553" s="1831"/>
      <c r="AU553" s="1831"/>
      <c r="AV553" s="1831"/>
      <c r="AW553" s="1831"/>
      <c r="AX553" s="1831"/>
      <c r="AY553" s="1831"/>
      <c r="AZ553" s="1831"/>
      <c r="BA553" s="1831"/>
      <c r="BB553" s="1831"/>
      <c r="BC553" s="1831"/>
      <c r="BD553" s="1831"/>
      <c r="BE553" s="1831"/>
      <c r="BF553" s="1831"/>
      <c r="BG553" s="1644"/>
    </row>
    <row customHeight="1" ht="11.25">
      <c r="A554" s="1175" t="s">
        <v>1036</v>
      </c>
      <c r="B554" s="1175"/>
      <c r="C554" s="1175"/>
      <c r="D554" s="1169"/>
      <c r="E554" s="1179"/>
      <c r="F554" s="1837"/>
      <c r="G554" s="1838"/>
      <c r="H554" s="2543" t="s">
        <v>1298</v>
      </c>
      <c r="I554" s="2544"/>
      <c r="J554" s="2727"/>
      <c r="K554" s="2545"/>
      <c r="L554" s="2135"/>
      <c r="M554" s="2136"/>
      <c r="N554" s="1184"/>
      <c r="O554" s="1185"/>
      <c r="P554" s="1177" t="s">
        <v>1083</v>
      </c>
      <c r="Q554" s="1185"/>
      <c r="R554" s="1185"/>
      <c r="S554" s="1185"/>
      <c r="T554" s="1185"/>
      <c r="U554" s="1185"/>
      <c r="V554" s="1185"/>
      <c r="W554" s="1185"/>
      <c r="X554" s="1185"/>
      <c r="Y554" s="1185"/>
      <c r="Z554" s="1185"/>
      <c r="AA554" s="1185"/>
      <c r="AB554" s="1185"/>
      <c r="AC554" s="1185"/>
      <c r="AD554" s="1185"/>
      <c r="AE554" s="1192"/>
      <c r="AF554" s="2534"/>
      <c r="AG554" s="2535"/>
      <c r="AH554" s="2535"/>
      <c r="AI554" s="2906"/>
      <c r="AJ554" s="2535"/>
      <c r="AK554" s="2535"/>
      <c r="AL554" s="1994"/>
      <c r="AM554" s="1831"/>
      <c r="AN554" s="1831"/>
      <c r="AO554" s="1831"/>
      <c r="AP554" s="1831"/>
      <c r="AQ554" s="1831"/>
      <c r="AR554" s="1831"/>
      <c r="AS554" s="1831"/>
      <c r="AT554" s="1831"/>
      <c r="AU554" s="1831"/>
      <c r="AV554" s="1831"/>
      <c r="AW554" s="1831"/>
      <c r="AX554" s="1831"/>
      <c r="AY554" s="1831"/>
      <c r="AZ554" s="1831"/>
      <c r="BA554" s="1831"/>
      <c r="BB554" s="1831"/>
      <c r="BC554" s="1831"/>
      <c r="BD554" s="1831"/>
      <c r="BE554" s="1831"/>
      <c r="BF554" s="1831"/>
      <c r="BG554" s="1644"/>
    </row>
    <row customHeight="1" ht="11.25">
      <c r="A555" s="1175" t="s">
        <v>1036</v>
      </c>
      <c r="B555" s="1175" t="s">
        <v>22</v>
      </c>
      <c r="C555" s="1175"/>
      <c r="D555" s="1169"/>
      <c r="E555" s="1179"/>
      <c r="F555" s="1837"/>
      <c r="G555" s="692" t="s">
        <v>104</v>
      </c>
      <c r="H555" s="2543" t="s">
        <v>1302</v>
      </c>
      <c r="I555" s="2544" t="s">
        <v>1137</v>
      </c>
      <c r="J555" s="2727" t="s">
        <v>22</v>
      </c>
      <c r="K555" s="2545" t="s">
        <v>1303</v>
      </c>
      <c r="L555" s="2135" t="s">
        <v>19</v>
      </c>
      <c r="M555" s="2136"/>
      <c r="N555" s="1992"/>
      <c r="O555" s="1186" t="s">
        <v>391</v>
      </c>
      <c r="P555" s="1187"/>
      <c r="Q555" s="1187"/>
      <c r="R555" s="1187"/>
      <c r="S555" s="1187"/>
      <c r="T555" s="1187"/>
      <c r="U555" s="1187"/>
      <c r="V555" s="1187"/>
      <c r="W555" s="1187"/>
      <c r="X555" s="1187"/>
      <c r="Y555" s="1187"/>
      <c r="Z555" s="1187"/>
      <c r="AA555" s="1187"/>
      <c r="AB555" s="1187"/>
      <c r="AC555" s="1187"/>
      <c r="AD555" s="1187"/>
      <c r="AE555" s="1187"/>
      <c r="AF555" s="2534">
        <v>5</v>
      </c>
      <c r="AG555" s="2535" t="s">
        <v>1072</v>
      </c>
      <c r="AH555" s="2535" t="s">
        <v>1163</v>
      </c>
      <c r="AI555" s="2906">
        <v>1</v>
      </c>
      <c r="AJ555" s="2535" t="s">
        <v>1072</v>
      </c>
      <c r="AK555" s="2535" t="s">
        <v>1085</v>
      </c>
      <c r="AL555" s="1994"/>
      <c r="AM555" s="1831"/>
      <c r="AN555" s="1831"/>
      <c r="AO555" s="1831"/>
      <c r="AP555" s="1831"/>
      <c r="AQ555" s="1831"/>
      <c r="AR555" s="1831"/>
      <c r="AS555" s="1831"/>
      <c r="AT555" s="1831"/>
      <c r="AU555" s="1831"/>
      <c r="AV555" s="1831"/>
      <c r="AW555" s="1831"/>
      <c r="AX555" s="1831"/>
      <c r="AY555" s="1831"/>
      <c r="AZ555" s="1831"/>
      <c r="BA555" s="1831"/>
      <c r="BB555" s="1831"/>
      <c r="BC555" s="1831"/>
      <c r="BD555" s="1831"/>
      <c r="BE555" s="1831"/>
      <c r="BF555" s="1831"/>
      <c r="BG555" s="1644"/>
    </row>
    <row customHeight="1" ht="11.25">
      <c r="A556" s="1175" t="s">
        <v>1036</v>
      </c>
      <c r="B556" s="1175"/>
      <c r="C556" s="1175"/>
      <c r="D556" s="1169"/>
      <c r="E556" s="1179"/>
      <c r="F556" s="1837"/>
      <c r="G556" s="1838"/>
      <c r="H556" s="2543" t="s">
        <v>1300</v>
      </c>
      <c r="I556" s="2544"/>
      <c r="J556" s="2727"/>
      <c r="K556" s="2545"/>
      <c r="L556" s="2135"/>
      <c r="M556" s="2136"/>
      <c r="N556" s="2536"/>
      <c r="O556" s="2537">
        <v>1</v>
      </c>
      <c r="P556" s="2538" t="s">
        <v>63</v>
      </c>
      <c r="Q556" s="2725" t="s">
        <v>1106</v>
      </c>
      <c r="R556" s="2726" t="s">
        <v>1076</v>
      </c>
      <c r="S556" s="2726" t="s">
        <v>100</v>
      </c>
      <c r="T556" s="2726" t="s">
        <v>100</v>
      </c>
      <c r="U556" s="2726" t="s">
        <v>101</v>
      </c>
      <c r="V556" s="2726" t="s">
        <v>1107</v>
      </c>
      <c r="W556" s="2726" t="s">
        <v>1108</v>
      </c>
      <c r="X556" s="2726" t="s">
        <v>1109</v>
      </c>
      <c r="Y556" s="2726" t="s">
        <v>1110</v>
      </c>
      <c r="Z556" s="1184"/>
      <c r="AA556" s="1185"/>
      <c r="AB556" s="1185"/>
      <c r="AC556" s="1189"/>
      <c r="AD556" s="1189"/>
      <c r="AE556" s="1190"/>
      <c r="AF556" s="2534"/>
      <c r="AG556" s="2535"/>
      <c r="AH556" s="2535"/>
      <c r="AI556" s="2906"/>
      <c r="AJ556" s="2535"/>
      <c r="AK556" s="2535"/>
      <c r="AL556" s="1994"/>
      <c r="AM556" s="1831"/>
      <c r="AN556" s="1831"/>
      <c r="AO556" s="1831"/>
      <c r="AP556" s="1831"/>
      <c r="AQ556" s="1831"/>
      <c r="AR556" s="1831"/>
      <c r="AS556" s="1831"/>
      <c r="AT556" s="1831"/>
      <c r="AU556" s="1831"/>
      <c r="AV556" s="1831"/>
      <c r="AW556" s="1831"/>
      <c r="AX556" s="1831"/>
      <c r="AY556" s="1831"/>
      <c r="AZ556" s="1831"/>
      <c r="BA556" s="1831"/>
      <c r="BB556" s="1831"/>
      <c r="BC556" s="1831"/>
      <c r="BD556" s="1831"/>
      <c r="BE556" s="1831"/>
      <c r="BF556" s="1831"/>
      <c r="BG556" s="1644"/>
    </row>
    <row customHeight="1" ht="11.25">
      <c r="A557" s="1175" t="s">
        <v>1036</v>
      </c>
      <c r="B557" s="1175"/>
      <c r="C557" s="1175"/>
      <c r="D557" s="1169"/>
      <c r="E557" s="1179"/>
      <c r="F557" s="1837"/>
      <c r="G557" s="1838"/>
      <c r="H557" s="2543" t="s">
        <v>1300</v>
      </c>
      <c r="I557" s="2544"/>
      <c r="J557" s="2727"/>
      <c r="K557" s="2545"/>
      <c r="L557" s="2135"/>
      <c r="M557" s="2136"/>
      <c r="N557" s="2536"/>
      <c r="O557" s="2537"/>
      <c r="P557" s="2539"/>
      <c r="Q557" s="2725"/>
      <c r="R557" s="2541"/>
      <c r="S557" s="2542"/>
      <c r="T557" s="2541"/>
      <c r="U557" s="2541"/>
      <c r="V557" s="2541"/>
      <c r="W557" s="2541"/>
      <c r="X557" s="2541"/>
      <c r="Y557" s="2541"/>
      <c r="Z557" s="1836"/>
      <c r="AA557" s="1802">
        <v>1</v>
      </c>
      <c r="AB557" s="1188" t="s">
        <v>1081</v>
      </c>
      <c r="AC557" s="1178">
        <v>447.56</v>
      </c>
      <c r="AD557" s="1188" t="str">
        <f>AB557</f>
        <v>      Амортизационные отчисления с выделением результатов переоценки основных средств и нематериальных активов</v>
      </c>
      <c r="AE557" s="1178">
        <v>399.65</v>
      </c>
      <c r="AF557" s="2534"/>
      <c r="AG557" s="2535"/>
      <c r="AH557" s="2535"/>
      <c r="AI557" s="2906"/>
      <c r="AJ557" s="2535"/>
      <c r="AK557" s="2535"/>
      <c r="AL557" s="1994"/>
      <c r="AM557" s="1831"/>
      <c r="AN557" s="1831"/>
      <c r="AO557" s="1831"/>
      <c r="AP557" s="1831"/>
      <c r="AQ557" s="1831"/>
      <c r="AR557" s="1831"/>
      <c r="AS557" s="1831"/>
      <c r="AT557" s="1831"/>
      <c r="AU557" s="1831"/>
      <c r="AV557" s="1831"/>
      <c r="AW557" s="1831"/>
      <c r="AX557" s="1831"/>
      <c r="AY557" s="1831"/>
      <c r="AZ557" s="1831"/>
      <c r="BA557" s="1831"/>
      <c r="BB557" s="1831"/>
      <c r="BC557" s="1831"/>
      <c r="BD557" s="1831"/>
      <c r="BE557" s="1831"/>
      <c r="BF557" s="1831"/>
      <c r="BG557" s="1644"/>
    </row>
    <row customHeight="1" ht="11.25">
      <c r="A558" s="1175" t="s">
        <v>1036</v>
      </c>
      <c r="B558" s="1175"/>
      <c r="C558" s="1175"/>
      <c r="D558" s="1169"/>
      <c r="E558" s="1179"/>
      <c r="F558" s="1838"/>
      <c r="G558" s="1838"/>
      <c r="H558" s="1838"/>
      <c r="I558" s="1838"/>
      <c r="J558" s="1838"/>
      <c r="K558" s="1838"/>
      <c r="L558" s="1838"/>
      <c r="M558" s="1838"/>
      <c r="N558" s="1838"/>
      <c r="O558" s="1838"/>
      <c r="P558" s="1838"/>
      <c r="Q558" s="1838"/>
      <c r="R558" s="1838"/>
      <c r="S558" s="1838"/>
      <c r="T558" s="1838"/>
      <c r="U558" s="1838"/>
      <c r="V558" s="1838"/>
      <c r="W558" s="1838"/>
      <c r="X558" s="1838"/>
      <c r="Y558" s="1838"/>
      <c r="Z558" s="692" t="s">
        <v>104</v>
      </c>
      <c r="AA558" s="1822" t="s">
        <v>103</v>
      </c>
      <c r="AB558" s="1188" t="s">
        <v>1091</v>
      </c>
      <c r="AC558" s="1178">
        <v>4028</v>
      </c>
      <c r="AD558" s="1188" t="str">
        <f>AB558</f>
        <v>  Прочие собственные средства</v>
      </c>
      <c r="AE558" s="1178">
        <v>4081.06</v>
      </c>
      <c r="AF558" s="2095"/>
      <c r="AG558" s="1767"/>
      <c r="AH558" s="1767"/>
      <c r="AI558" s="2908"/>
      <c r="AJ558" s="1767"/>
      <c r="AK558" s="1993"/>
      <c r="AL558" s="1994"/>
      <c r="AM558" s="1831"/>
      <c r="AN558" s="1831"/>
      <c r="AO558" s="1831"/>
      <c r="AP558" s="1831"/>
      <c r="AQ558" s="1831"/>
      <c r="AR558" s="1831"/>
      <c r="AS558" s="1831"/>
      <c r="AT558" s="1831"/>
      <c r="AU558" s="1831"/>
      <c r="AV558" s="1831"/>
      <c r="AW558" s="1831"/>
      <c r="AX558" s="1831"/>
      <c r="AY558" s="1831"/>
      <c r="AZ558" s="1831"/>
      <c r="BA558" s="1831"/>
      <c r="BB558" s="1831"/>
      <c r="BC558" s="1831"/>
      <c r="BD558" s="1831"/>
      <c r="BE558" s="1831"/>
      <c r="BF558" s="1831"/>
      <c r="BG558" s="1644"/>
    </row>
    <row customHeight="1" ht="11.25">
      <c r="A559" s="1175" t="s">
        <v>1036</v>
      </c>
      <c r="B559" s="1175"/>
      <c r="C559" s="1175"/>
      <c r="D559" s="1169"/>
      <c r="E559" s="1179"/>
      <c r="F559" s="1837"/>
      <c r="G559" s="1838"/>
      <c r="H559" s="2543" t="s">
        <v>1300</v>
      </c>
      <c r="I559" s="2544"/>
      <c r="J559" s="2727"/>
      <c r="K559" s="2545"/>
      <c r="L559" s="2135"/>
      <c r="M559" s="2136"/>
      <c r="N559" s="2536"/>
      <c r="O559" s="2537"/>
      <c r="P559" s="2540"/>
      <c r="Q559" s="2725"/>
      <c r="R559" s="2541"/>
      <c r="S559" s="2542"/>
      <c r="T559" s="2541"/>
      <c r="U559" s="2541"/>
      <c r="V559" s="2541"/>
      <c r="W559" s="2541"/>
      <c r="X559" s="2541"/>
      <c r="Y559" s="2541"/>
      <c r="Z559" s="1184"/>
      <c r="AA559" s="1185"/>
      <c r="AB559" s="1250" t="s">
        <v>1082</v>
      </c>
      <c r="AC559" s="1189"/>
      <c r="AD559" s="1189"/>
      <c r="AE559" s="1191"/>
      <c r="AF559" s="2534"/>
      <c r="AG559" s="2535"/>
      <c r="AH559" s="2535"/>
      <c r="AI559" s="2906"/>
      <c r="AJ559" s="2535"/>
      <c r="AK559" s="2535"/>
      <c r="AL559" s="1994"/>
      <c r="AM559" s="1831"/>
      <c r="AN559" s="1831"/>
      <c r="AO559" s="1831"/>
      <c r="AP559" s="1831"/>
      <c r="AQ559" s="1831"/>
      <c r="AR559" s="1831"/>
      <c r="AS559" s="1831"/>
      <c r="AT559" s="1831"/>
      <c r="AU559" s="1831"/>
      <c r="AV559" s="1831"/>
      <c r="AW559" s="1831"/>
      <c r="AX559" s="1831"/>
      <c r="AY559" s="1831"/>
      <c r="AZ559" s="1831"/>
      <c r="BA559" s="1831"/>
      <c r="BB559" s="1831"/>
      <c r="BC559" s="1831"/>
      <c r="BD559" s="1831"/>
      <c r="BE559" s="1831"/>
      <c r="BF559" s="1831"/>
      <c r="BG559" s="1644"/>
    </row>
    <row customHeight="1" ht="11.25">
      <c r="A560" s="1175" t="s">
        <v>1036</v>
      </c>
      <c r="B560" s="1175"/>
      <c r="C560" s="1175"/>
      <c r="D560" s="1169"/>
      <c r="E560" s="1179"/>
      <c r="F560" s="1837"/>
      <c r="G560" s="1838"/>
      <c r="H560" s="2543" t="s">
        <v>1300</v>
      </c>
      <c r="I560" s="2544"/>
      <c r="J560" s="2727"/>
      <c r="K560" s="2545"/>
      <c r="L560" s="2135"/>
      <c r="M560" s="2136"/>
      <c r="N560" s="1184"/>
      <c r="O560" s="1185"/>
      <c r="P560" s="1177" t="s">
        <v>1083</v>
      </c>
      <c r="Q560" s="1185"/>
      <c r="R560" s="1185"/>
      <c r="S560" s="1185"/>
      <c r="T560" s="1185"/>
      <c r="U560" s="1185"/>
      <c r="V560" s="1185"/>
      <c r="W560" s="1185"/>
      <c r="X560" s="1185"/>
      <c r="Y560" s="1185"/>
      <c r="Z560" s="1185"/>
      <c r="AA560" s="1185"/>
      <c r="AB560" s="1185"/>
      <c r="AC560" s="1185"/>
      <c r="AD560" s="1185"/>
      <c r="AE560" s="1192"/>
      <c r="AF560" s="2534"/>
      <c r="AG560" s="2535"/>
      <c r="AH560" s="2535"/>
      <c r="AI560" s="2906"/>
      <c r="AJ560" s="2535"/>
      <c r="AK560" s="2535"/>
      <c r="AL560" s="1994"/>
      <c r="AM560" s="1831"/>
      <c r="AN560" s="1831"/>
      <c r="AO560" s="1831"/>
      <c r="AP560" s="1831"/>
      <c r="AQ560" s="1831"/>
      <c r="AR560" s="1831"/>
      <c r="AS560" s="1831"/>
      <c r="AT560" s="1831"/>
      <c r="AU560" s="1831"/>
      <c r="AV560" s="1831"/>
      <c r="AW560" s="1831"/>
      <c r="AX560" s="1831"/>
      <c r="AY560" s="1831"/>
      <c r="AZ560" s="1831"/>
      <c r="BA560" s="1831"/>
      <c r="BB560" s="1831"/>
      <c r="BC560" s="1831"/>
      <c r="BD560" s="1831"/>
      <c r="BE560" s="1831"/>
      <c r="BF560" s="1831"/>
      <c r="BG560" s="1644"/>
    </row>
    <row customHeight="1" ht="11.25">
      <c r="A561" s="1175" t="s">
        <v>1036</v>
      </c>
      <c r="B561" s="1175" t="s">
        <v>22</v>
      </c>
      <c r="C561" s="1175"/>
      <c r="D561" s="1169"/>
      <c r="E561" s="1179"/>
      <c r="F561" s="1837"/>
      <c r="G561" s="692" t="s">
        <v>104</v>
      </c>
      <c r="H561" s="2543" t="s">
        <v>1304</v>
      </c>
      <c r="I561" s="2544" t="s">
        <v>1147</v>
      </c>
      <c r="J561" s="2727" t="s">
        <v>22</v>
      </c>
      <c r="K561" s="2545" t="s">
        <v>1305</v>
      </c>
      <c r="L561" s="2135" t="s">
        <v>19</v>
      </c>
      <c r="M561" s="2136"/>
      <c r="N561" s="1992"/>
      <c r="O561" s="1186" t="s">
        <v>391</v>
      </c>
      <c r="P561" s="1187"/>
      <c r="Q561" s="1187"/>
      <c r="R561" s="1187"/>
      <c r="S561" s="1187"/>
      <c r="T561" s="1187"/>
      <c r="U561" s="1187"/>
      <c r="V561" s="1187"/>
      <c r="W561" s="1187"/>
      <c r="X561" s="1187"/>
      <c r="Y561" s="1187"/>
      <c r="Z561" s="1187"/>
      <c r="AA561" s="1187"/>
      <c r="AB561" s="1187"/>
      <c r="AC561" s="1187"/>
      <c r="AD561" s="1187"/>
      <c r="AE561" s="1187"/>
      <c r="AF561" s="2534">
        <v>3</v>
      </c>
      <c r="AG561" s="2535" t="s">
        <v>1072</v>
      </c>
      <c r="AH561" s="2535" t="s">
        <v>1105</v>
      </c>
      <c r="AI561" s="2724"/>
      <c r="AJ561" s="2535" t="s">
        <v>1074</v>
      </c>
      <c r="AK561" s="2535" t="s">
        <v>1074</v>
      </c>
      <c r="AL561" s="1994"/>
      <c r="AM561" s="1831"/>
      <c r="AN561" s="1831"/>
      <c r="AO561" s="1831"/>
      <c r="AP561" s="1831"/>
      <c r="AQ561" s="1831"/>
      <c r="AR561" s="1831"/>
      <c r="AS561" s="1831"/>
      <c r="AT561" s="1831"/>
      <c r="AU561" s="1831"/>
      <c r="AV561" s="1831"/>
      <c r="AW561" s="1831"/>
      <c r="AX561" s="1831"/>
      <c r="AY561" s="1831"/>
      <c r="AZ561" s="1831"/>
      <c r="BA561" s="1831"/>
      <c r="BB561" s="1831"/>
      <c r="BC561" s="1831"/>
      <c r="BD561" s="1831"/>
      <c r="BE561" s="1831"/>
      <c r="BF561" s="1831"/>
      <c r="BG561" s="1644"/>
    </row>
    <row customHeight="1" ht="11.25">
      <c r="A562" s="1175" t="s">
        <v>1036</v>
      </c>
      <c r="B562" s="1175"/>
      <c r="C562" s="1175"/>
      <c r="D562" s="1169"/>
      <c r="E562" s="1179"/>
      <c r="F562" s="1837"/>
      <c r="G562" s="1838"/>
      <c r="H562" s="2543" t="s">
        <v>1302</v>
      </c>
      <c r="I562" s="2544"/>
      <c r="J562" s="2727"/>
      <c r="K562" s="2545"/>
      <c r="L562" s="2135"/>
      <c r="M562" s="2136"/>
      <c r="N562" s="2536"/>
      <c r="O562" s="2537">
        <v>1</v>
      </c>
      <c r="P562" s="2538" t="s">
        <v>63</v>
      </c>
      <c r="Q562" s="2725" t="s">
        <v>1106</v>
      </c>
      <c r="R562" s="2726" t="s">
        <v>1076</v>
      </c>
      <c r="S562" s="2726" t="s">
        <v>100</v>
      </c>
      <c r="T562" s="2726" t="s">
        <v>100</v>
      </c>
      <c r="U562" s="2726" t="s">
        <v>101</v>
      </c>
      <c r="V562" s="2726" t="s">
        <v>1107</v>
      </c>
      <c r="W562" s="2726" t="s">
        <v>1108</v>
      </c>
      <c r="X562" s="2726" t="s">
        <v>1109</v>
      </c>
      <c r="Y562" s="2726" t="s">
        <v>1110</v>
      </c>
      <c r="Z562" s="1184"/>
      <c r="AA562" s="1185"/>
      <c r="AB562" s="1185"/>
      <c r="AC562" s="1189"/>
      <c r="AD562" s="1189"/>
      <c r="AE562" s="1190"/>
      <c r="AF562" s="2534"/>
      <c r="AG562" s="2535"/>
      <c r="AH562" s="2535"/>
      <c r="AI562" s="2724"/>
      <c r="AJ562" s="2535"/>
      <c r="AK562" s="2535"/>
      <c r="AL562" s="1994"/>
      <c r="AM562" s="1831"/>
      <c r="AN562" s="1831"/>
      <c r="AO562" s="1831"/>
      <c r="AP562" s="1831"/>
      <c r="AQ562" s="1831"/>
      <c r="AR562" s="1831"/>
      <c r="AS562" s="1831"/>
      <c r="AT562" s="1831"/>
      <c r="AU562" s="1831"/>
      <c r="AV562" s="1831"/>
      <c r="AW562" s="1831"/>
      <c r="AX562" s="1831"/>
      <c r="AY562" s="1831"/>
      <c r="AZ562" s="1831"/>
      <c r="BA562" s="1831"/>
      <c r="BB562" s="1831"/>
      <c r="BC562" s="1831"/>
      <c r="BD562" s="1831"/>
      <c r="BE562" s="1831"/>
      <c r="BF562" s="1831"/>
      <c r="BG562" s="1644"/>
    </row>
    <row customHeight="1" ht="11.25">
      <c r="A563" s="1175" t="s">
        <v>1036</v>
      </c>
      <c r="B563" s="1175"/>
      <c r="C563" s="1175"/>
      <c r="D563" s="1169"/>
      <c r="E563" s="1179"/>
      <c r="F563" s="1837"/>
      <c r="G563" s="1838"/>
      <c r="H563" s="2543" t="s">
        <v>1302</v>
      </c>
      <c r="I563" s="2544"/>
      <c r="J563" s="2727"/>
      <c r="K563" s="2545"/>
      <c r="L563" s="2135"/>
      <c r="M563" s="2136"/>
      <c r="N563" s="2536"/>
      <c r="O563" s="2537"/>
      <c r="P563" s="2539"/>
      <c r="Q563" s="2725"/>
      <c r="R563" s="2541"/>
      <c r="S563" s="2542"/>
      <c r="T563" s="2541"/>
      <c r="U563" s="2541"/>
      <c r="V563" s="2541"/>
      <c r="W563" s="2541"/>
      <c r="X563" s="2541"/>
      <c r="Y563" s="2541"/>
      <c r="Z563" s="1836"/>
      <c r="AA563" s="1802">
        <v>1</v>
      </c>
      <c r="AB563" s="1188" t="s">
        <v>1081</v>
      </c>
      <c r="AC563" s="1178">
        <v>204.19</v>
      </c>
      <c r="AD563" s="1188" t="str">
        <f>AB563</f>
        <v>      Амортизационные отчисления с выделением результатов переоценки основных средств и нематериальных активов</v>
      </c>
      <c r="AE563" s="1178">
        <v>0</v>
      </c>
      <c r="AF563" s="2534"/>
      <c r="AG563" s="2535"/>
      <c r="AH563" s="2535"/>
      <c r="AI563" s="2724"/>
      <c r="AJ563" s="2535"/>
      <c r="AK563" s="2535"/>
      <c r="AL563" s="1994"/>
      <c r="AM563" s="1831"/>
      <c r="AN563" s="1831"/>
      <c r="AO563" s="1831"/>
      <c r="AP563" s="1831"/>
      <c r="AQ563" s="1831"/>
      <c r="AR563" s="1831"/>
      <c r="AS563" s="1831"/>
      <c r="AT563" s="1831"/>
      <c r="AU563" s="1831"/>
      <c r="AV563" s="1831"/>
      <c r="AW563" s="1831"/>
      <c r="AX563" s="1831"/>
      <c r="AY563" s="1831"/>
      <c r="AZ563" s="1831"/>
      <c r="BA563" s="1831"/>
      <c r="BB563" s="1831"/>
      <c r="BC563" s="1831"/>
      <c r="BD563" s="1831"/>
      <c r="BE563" s="1831"/>
      <c r="BF563" s="1831"/>
      <c r="BG563" s="1644"/>
    </row>
    <row customHeight="1" ht="11.25">
      <c r="A564" s="1175" t="s">
        <v>1036</v>
      </c>
      <c r="B564" s="1175"/>
      <c r="C564" s="1175"/>
      <c r="D564" s="1169"/>
      <c r="E564" s="1179"/>
      <c r="F564" s="1838"/>
      <c r="G564" s="1838"/>
      <c r="H564" s="1838"/>
      <c r="I564" s="1838"/>
      <c r="J564" s="1838"/>
      <c r="K564" s="1838"/>
      <c r="L564" s="1838"/>
      <c r="M564" s="1838"/>
      <c r="N564" s="1838"/>
      <c r="O564" s="1838"/>
      <c r="P564" s="1838"/>
      <c r="Q564" s="1838"/>
      <c r="R564" s="1838"/>
      <c r="S564" s="1838"/>
      <c r="T564" s="1838"/>
      <c r="U564" s="1838"/>
      <c r="V564" s="1838"/>
      <c r="W564" s="1838"/>
      <c r="X564" s="1838"/>
      <c r="Y564" s="1838"/>
      <c r="Z564" s="692" t="s">
        <v>104</v>
      </c>
      <c r="AA564" s="1822" t="s">
        <v>103</v>
      </c>
      <c r="AB564" s="1188" t="s">
        <v>1091</v>
      </c>
      <c r="AC564" s="1178">
        <v>1837.67</v>
      </c>
      <c r="AD564" s="1188" t="str">
        <f>AB564</f>
        <v>  Прочие собственные средства</v>
      </c>
      <c r="AE564" s="1178">
        <v>0</v>
      </c>
      <c r="AF564" s="2095"/>
      <c r="AG564" s="1767"/>
      <c r="AH564" s="1767"/>
      <c r="AI564" s="2728"/>
      <c r="AJ564" s="1767"/>
      <c r="AK564" s="1993"/>
      <c r="AL564" s="1994"/>
      <c r="AM564" s="1831"/>
      <c r="AN564" s="1831"/>
      <c r="AO564" s="1831"/>
      <c r="AP564" s="1831"/>
      <c r="AQ564" s="1831"/>
      <c r="AR564" s="1831"/>
      <c r="AS564" s="1831"/>
      <c r="AT564" s="1831"/>
      <c r="AU564" s="1831"/>
      <c r="AV564" s="1831"/>
      <c r="AW564" s="1831"/>
      <c r="AX564" s="1831"/>
      <c r="AY564" s="1831"/>
      <c r="AZ564" s="1831"/>
      <c r="BA564" s="1831"/>
      <c r="BB564" s="1831"/>
      <c r="BC564" s="1831"/>
      <c r="BD564" s="1831"/>
      <c r="BE564" s="1831"/>
      <c r="BF564" s="1831"/>
      <c r="BG564" s="1644"/>
    </row>
    <row customHeight="1" ht="11.25">
      <c r="A565" s="1175" t="s">
        <v>1036</v>
      </c>
      <c r="B565" s="1175"/>
      <c r="C565" s="1175"/>
      <c r="D565" s="1169"/>
      <c r="E565" s="1179"/>
      <c r="F565" s="1837"/>
      <c r="G565" s="1838"/>
      <c r="H565" s="2543" t="s">
        <v>1302</v>
      </c>
      <c r="I565" s="2544"/>
      <c r="J565" s="2727"/>
      <c r="K565" s="2545"/>
      <c r="L565" s="2135"/>
      <c r="M565" s="2136"/>
      <c r="N565" s="2536"/>
      <c r="O565" s="2537"/>
      <c r="P565" s="2540"/>
      <c r="Q565" s="2725"/>
      <c r="R565" s="2541"/>
      <c r="S565" s="2542"/>
      <c r="T565" s="2541"/>
      <c r="U565" s="2541"/>
      <c r="V565" s="2541"/>
      <c r="W565" s="2541"/>
      <c r="X565" s="2541"/>
      <c r="Y565" s="2541"/>
      <c r="Z565" s="1184"/>
      <c r="AA565" s="1185"/>
      <c r="AB565" s="1250" t="s">
        <v>1082</v>
      </c>
      <c r="AC565" s="1189"/>
      <c r="AD565" s="1189"/>
      <c r="AE565" s="1191"/>
      <c r="AF565" s="2534"/>
      <c r="AG565" s="2535"/>
      <c r="AH565" s="2535"/>
      <c r="AI565" s="2724"/>
      <c r="AJ565" s="2535"/>
      <c r="AK565" s="2535"/>
      <c r="AL565" s="1994"/>
      <c r="AM565" s="1831"/>
      <c r="AN565" s="1831"/>
      <c r="AO565" s="1831"/>
      <c r="AP565" s="1831"/>
      <c r="AQ565" s="1831"/>
      <c r="AR565" s="1831"/>
      <c r="AS565" s="1831"/>
      <c r="AT565" s="1831"/>
      <c r="AU565" s="1831"/>
      <c r="AV565" s="1831"/>
      <c r="AW565" s="1831"/>
      <c r="AX565" s="1831"/>
      <c r="AY565" s="1831"/>
      <c r="AZ565" s="1831"/>
      <c r="BA565" s="1831"/>
      <c r="BB565" s="1831"/>
      <c r="BC565" s="1831"/>
      <c r="BD565" s="1831"/>
      <c r="BE565" s="1831"/>
      <c r="BF565" s="1831"/>
      <c r="BG565" s="1644"/>
    </row>
    <row customHeight="1" ht="11.25">
      <c r="A566" s="1175" t="s">
        <v>1036</v>
      </c>
      <c r="B566" s="1175"/>
      <c r="C566" s="1175"/>
      <c r="D566" s="1169"/>
      <c r="E566" s="1179"/>
      <c r="F566" s="1837"/>
      <c r="G566" s="1838"/>
      <c r="H566" s="2543" t="s">
        <v>1302</v>
      </c>
      <c r="I566" s="2544"/>
      <c r="J566" s="2727"/>
      <c r="K566" s="2545"/>
      <c r="L566" s="2135"/>
      <c r="M566" s="2136"/>
      <c r="N566" s="1184"/>
      <c r="O566" s="1185"/>
      <c r="P566" s="1177" t="s">
        <v>1083</v>
      </c>
      <c r="Q566" s="1185"/>
      <c r="R566" s="1185"/>
      <c r="S566" s="1185"/>
      <c r="T566" s="1185"/>
      <c r="U566" s="1185"/>
      <c r="V566" s="1185"/>
      <c r="W566" s="1185"/>
      <c r="X566" s="1185"/>
      <c r="Y566" s="1185"/>
      <c r="Z566" s="1185"/>
      <c r="AA566" s="1185"/>
      <c r="AB566" s="1185"/>
      <c r="AC566" s="1185"/>
      <c r="AD566" s="1185"/>
      <c r="AE566" s="1192"/>
      <c r="AF566" s="2534"/>
      <c r="AG566" s="2535"/>
      <c r="AH566" s="2535"/>
      <c r="AI566" s="2724"/>
      <c r="AJ566" s="2535"/>
      <c r="AK566" s="2535"/>
      <c r="AL566" s="1994"/>
      <c r="AM566" s="1831"/>
      <c r="AN566" s="1831"/>
      <c r="AO566" s="1831"/>
      <c r="AP566" s="1831"/>
      <c r="AQ566" s="1831"/>
      <c r="AR566" s="1831"/>
      <c r="AS566" s="1831"/>
      <c r="AT566" s="1831"/>
      <c r="AU566" s="1831"/>
      <c r="AV566" s="1831"/>
      <c r="AW566" s="1831"/>
      <c r="AX566" s="1831"/>
      <c r="AY566" s="1831"/>
      <c r="AZ566" s="1831"/>
      <c r="BA566" s="1831"/>
      <c r="BB566" s="1831"/>
      <c r="BC566" s="1831"/>
      <c r="BD566" s="1831"/>
      <c r="BE566" s="1831"/>
      <c r="BF566" s="1831"/>
      <c r="BG566" s="1644"/>
    </row>
    <row customHeight="1" ht="11.25">
      <c r="A567" s="1175" t="s">
        <v>1036</v>
      </c>
      <c r="B567" s="1175" t="s">
        <v>22</v>
      </c>
      <c r="C567" s="1175"/>
      <c r="D567" s="1169"/>
      <c r="E567" s="1179"/>
      <c r="F567" s="1837"/>
      <c r="G567" s="692" t="s">
        <v>104</v>
      </c>
      <c r="H567" s="2543" t="s">
        <v>1306</v>
      </c>
      <c r="I567" s="2544" t="s">
        <v>1137</v>
      </c>
      <c r="J567" s="2727" t="s">
        <v>22</v>
      </c>
      <c r="K567" s="2545" t="s">
        <v>1307</v>
      </c>
      <c r="L567" s="2135" t="s">
        <v>19</v>
      </c>
      <c r="M567" s="2136"/>
      <c r="N567" s="1992"/>
      <c r="O567" s="1186" t="s">
        <v>391</v>
      </c>
      <c r="P567" s="1187"/>
      <c r="Q567" s="1187"/>
      <c r="R567" s="1187"/>
      <c r="S567" s="1187"/>
      <c r="T567" s="1187"/>
      <c r="U567" s="1187"/>
      <c r="V567" s="1187"/>
      <c r="W567" s="1187"/>
      <c r="X567" s="1187"/>
      <c r="Y567" s="1187"/>
      <c r="Z567" s="1187"/>
      <c r="AA567" s="1187"/>
      <c r="AB567" s="1187"/>
      <c r="AC567" s="1187"/>
      <c r="AD567" s="1187"/>
      <c r="AE567" s="1187"/>
      <c r="AF567" s="2534">
        <v>5</v>
      </c>
      <c r="AG567" s="2535" t="s">
        <v>1072</v>
      </c>
      <c r="AH567" s="2535" t="s">
        <v>1163</v>
      </c>
      <c r="AI567" s="2906">
        <v>1</v>
      </c>
      <c r="AJ567" s="2535" t="s">
        <v>1072</v>
      </c>
      <c r="AK567" s="2535" t="s">
        <v>1085</v>
      </c>
      <c r="AL567" s="1994"/>
      <c r="AM567" s="1831"/>
      <c r="AN567" s="1831"/>
      <c r="AO567" s="1831"/>
      <c r="AP567" s="1831"/>
      <c r="AQ567" s="1831"/>
      <c r="AR567" s="1831"/>
      <c r="AS567" s="1831"/>
      <c r="AT567" s="1831"/>
      <c r="AU567" s="1831"/>
      <c r="AV567" s="1831"/>
      <c r="AW567" s="1831"/>
      <c r="AX567" s="1831"/>
      <c r="AY567" s="1831"/>
      <c r="AZ567" s="1831"/>
      <c r="BA567" s="1831"/>
      <c r="BB567" s="1831"/>
      <c r="BC567" s="1831"/>
      <c r="BD567" s="1831"/>
      <c r="BE567" s="1831"/>
      <c r="BF567" s="1831"/>
      <c r="BG567" s="1644"/>
    </row>
    <row customHeight="1" ht="11.25">
      <c r="A568" s="1175" t="s">
        <v>1036</v>
      </c>
      <c r="B568" s="1175"/>
      <c r="C568" s="1175"/>
      <c r="D568" s="1169"/>
      <c r="E568" s="1179"/>
      <c r="F568" s="1837"/>
      <c r="G568" s="1838"/>
      <c r="H568" s="2543" t="s">
        <v>1304</v>
      </c>
      <c r="I568" s="2544"/>
      <c r="J568" s="2727"/>
      <c r="K568" s="2545"/>
      <c r="L568" s="2135"/>
      <c r="M568" s="2136"/>
      <c r="N568" s="2536"/>
      <c r="O568" s="2537">
        <v>1</v>
      </c>
      <c r="P568" s="2538" t="s">
        <v>63</v>
      </c>
      <c r="Q568" s="2725" t="s">
        <v>1106</v>
      </c>
      <c r="R568" s="2726" t="s">
        <v>1076</v>
      </c>
      <c r="S568" s="2726" t="s">
        <v>100</v>
      </c>
      <c r="T568" s="2726" t="s">
        <v>100</v>
      </c>
      <c r="U568" s="2726" t="s">
        <v>101</v>
      </c>
      <c r="V568" s="2726" t="s">
        <v>1107</v>
      </c>
      <c r="W568" s="2726" t="s">
        <v>1108</v>
      </c>
      <c r="X568" s="2726" t="s">
        <v>1109</v>
      </c>
      <c r="Y568" s="2726" t="s">
        <v>1110</v>
      </c>
      <c r="Z568" s="1184"/>
      <c r="AA568" s="1185"/>
      <c r="AB568" s="1185"/>
      <c r="AC568" s="1189"/>
      <c r="AD568" s="1189"/>
      <c r="AE568" s="1190"/>
      <c r="AF568" s="2534"/>
      <c r="AG568" s="2535"/>
      <c r="AH568" s="2535"/>
      <c r="AI568" s="2906"/>
      <c r="AJ568" s="2535"/>
      <c r="AK568" s="2535"/>
      <c r="AL568" s="1994"/>
      <c r="AM568" s="1831"/>
      <c r="AN568" s="1831"/>
      <c r="AO568" s="1831"/>
      <c r="AP568" s="1831"/>
      <c r="AQ568" s="1831"/>
      <c r="AR568" s="1831"/>
      <c r="AS568" s="1831"/>
      <c r="AT568" s="1831"/>
      <c r="AU568" s="1831"/>
      <c r="AV568" s="1831"/>
      <c r="AW568" s="1831"/>
      <c r="AX568" s="1831"/>
      <c r="AY568" s="1831"/>
      <c r="AZ568" s="1831"/>
      <c r="BA568" s="1831"/>
      <c r="BB568" s="1831"/>
      <c r="BC568" s="1831"/>
      <c r="BD568" s="1831"/>
      <c r="BE568" s="1831"/>
      <c r="BF568" s="1831"/>
      <c r="BG568" s="1644"/>
    </row>
    <row customHeight="1" ht="11.25">
      <c r="A569" s="1175" t="s">
        <v>1036</v>
      </c>
      <c r="B569" s="1175"/>
      <c r="C569" s="1175"/>
      <c r="D569" s="1169"/>
      <c r="E569" s="1179"/>
      <c r="F569" s="1837"/>
      <c r="G569" s="1838"/>
      <c r="H569" s="2543" t="s">
        <v>1304</v>
      </c>
      <c r="I569" s="2544"/>
      <c r="J569" s="2727"/>
      <c r="K569" s="2545"/>
      <c r="L569" s="2135"/>
      <c r="M569" s="2136"/>
      <c r="N569" s="2536"/>
      <c r="O569" s="2537"/>
      <c r="P569" s="2539"/>
      <c r="Q569" s="2725"/>
      <c r="R569" s="2541"/>
      <c r="S569" s="2542"/>
      <c r="T569" s="2541"/>
      <c r="U569" s="2541"/>
      <c r="V569" s="2541"/>
      <c r="W569" s="2541"/>
      <c r="X569" s="2541"/>
      <c r="Y569" s="2541"/>
      <c r="Z569" s="1836"/>
      <c r="AA569" s="1802">
        <v>1</v>
      </c>
      <c r="AB569" s="1188" t="s">
        <v>1125</v>
      </c>
      <c r="AC569" s="1178">
        <v>4683.82</v>
      </c>
      <c r="AD569" s="1188" t="str">
        <f>AB569</f>
        <v>  Прочие</v>
      </c>
      <c r="AE569" s="1178">
        <v>3864.12</v>
      </c>
      <c r="AF569" s="2534"/>
      <c r="AG569" s="2535"/>
      <c r="AH569" s="2535"/>
      <c r="AI569" s="2906"/>
      <c r="AJ569" s="2535"/>
      <c r="AK569" s="2535"/>
      <c r="AL569" s="1994"/>
      <c r="AM569" s="1831"/>
      <c r="AN569" s="1831"/>
      <c r="AO569" s="1831"/>
      <c r="AP569" s="1831"/>
      <c r="AQ569" s="1831"/>
      <c r="AR569" s="1831"/>
      <c r="AS569" s="1831"/>
      <c r="AT569" s="1831"/>
      <c r="AU569" s="1831"/>
      <c r="AV569" s="1831"/>
      <c r="AW569" s="1831"/>
      <c r="AX569" s="1831"/>
      <c r="AY569" s="1831"/>
      <c r="AZ569" s="1831"/>
      <c r="BA569" s="1831"/>
      <c r="BB569" s="1831"/>
      <c r="BC569" s="1831"/>
      <c r="BD569" s="1831"/>
      <c r="BE569" s="1831"/>
      <c r="BF569" s="1831"/>
      <c r="BG569" s="1644"/>
    </row>
    <row customHeight="1" ht="11.25">
      <c r="A570" s="1175" t="s">
        <v>1036</v>
      </c>
      <c r="B570" s="1175"/>
      <c r="C570" s="1175"/>
      <c r="D570" s="1169"/>
      <c r="E570" s="1179"/>
      <c r="F570" s="1837"/>
      <c r="G570" s="1838"/>
      <c r="H570" s="2543" t="s">
        <v>1304</v>
      </c>
      <c r="I570" s="2544"/>
      <c r="J570" s="2727"/>
      <c r="K570" s="2545"/>
      <c r="L570" s="2135"/>
      <c r="M570" s="2136"/>
      <c r="N570" s="2536"/>
      <c r="O570" s="2537"/>
      <c r="P570" s="2540"/>
      <c r="Q570" s="2725"/>
      <c r="R570" s="2541"/>
      <c r="S570" s="2542"/>
      <c r="T570" s="2541"/>
      <c r="U570" s="2541"/>
      <c r="V570" s="2541"/>
      <c r="W570" s="2541"/>
      <c r="X570" s="2541"/>
      <c r="Y570" s="2541"/>
      <c r="Z570" s="1184"/>
      <c r="AA570" s="1185"/>
      <c r="AB570" s="1250" t="s">
        <v>1082</v>
      </c>
      <c r="AC570" s="1189"/>
      <c r="AD570" s="1189"/>
      <c r="AE570" s="1191"/>
      <c r="AF570" s="2534"/>
      <c r="AG570" s="2535"/>
      <c r="AH570" s="2535"/>
      <c r="AI570" s="2906"/>
      <c r="AJ570" s="2535"/>
      <c r="AK570" s="2535"/>
      <c r="AL570" s="1994"/>
      <c r="AM570" s="1831"/>
      <c r="AN570" s="1831"/>
      <c r="AO570" s="1831"/>
      <c r="AP570" s="1831"/>
      <c r="AQ570" s="1831"/>
      <c r="AR570" s="1831"/>
      <c r="AS570" s="1831"/>
      <c r="AT570" s="1831"/>
      <c r="AU570" s="1831"/>
      <c r="AV570" s="1831"/>
      <c r="AW570" s="1831"/>
      <c r="AX570" s="1831"/>
      <c r="AY570" s="1831"/>
      <c r="AZ570" s="1831"/>
      <c r="BA570" s="1831"/>
      <c r="BB570" s="1831"/>
      <c r="BC570" s="1831"/>
      <c r="BD570" s="1831"/>
      <c r="BE570" s="1831"/>
      <c r="BF570" s="1831"/>
      <c r="BG570" s="1644"/>
    </row>
    <row customHeight="1" ht="11.25">
      <c r="A571" s="1175" t="s">
        <v>1036</v>
      </c>
      <c r="B571" s="1175"/>
      <c r="C571" s="1175"/>
      <c r="D571" s="1169"/>
      <c r="E571" s="1179"/>
      <c r="F571" s="1837"/>
      <c r="G571" s="1838"/>
      <c r="H571" s="2543" t="s">
        <v>1304</v>
      </c>
      <c r="I571" s="2544"/>
      <c r="J571" s="2727"/>
      <c r="K571" s="2545"/>
      <c r="L571" s="2135"/>
      <c r="M571" s="2136"/>
      <c r="N571" s="1184"/>
      <c r="O571" s="1185"/>
      <c r="P571" s="1177" t="s">
        <v>1083</v>
      </c>
      <c r="Q571" s="1185"/>
      <c r="R571" s="1185"/>
      <c r="S571" s="1185"/>
      <c r="T571" s="1185"/>
      <c r="U571" s="1185"/>
      <c r="V571" s="1185"/>
      <c r="W571" s="1185"/>
      <c r="X571" s="1185"/>
      <c r="Y571" s="1185"/>
      <c r="Z571" s="1185"/>
      <c r="AA571" s="1185"/>
      <c r="AB571" s="1185"/>
      <c r="AC571" s="1185"/>
      <c r="AD571" s="1185"/>
      <c r="AE571" s="1192"/>
      <c r="AF571" s="2534"/>
      <c r="AG571" s="2535"/>
      <c r="AH571" s="2535"/>
      <c r="AI571" s="2906"/>
      <c r="AJ571" s="2535"/>
      <c r="AK571" s="2535"/>
      <c r="AL571" s="1994"/>
      <c r="AM571" s="1831"/>
      <c r="AN571" s="1831"/>
      <c r="AO571" s="1831"/>
      <c r="AP571" s="1831"/>
      <c r="AQ571" s="1831"/>
      <c r="AR571" s="1831"/>
      <c r="AS571" s="1831"/>
      <c r="AT571" s="1831"/>
      <c r="AU571" s="1831"/>
      <c r="AV571" s="1831"/>
      <c r="AW571" s="1831"/>
      <c r="AX571" s="1831"/>
      <c r="AY571" s="1831"/>
      <c r="AZ571" s="1831"/>
      <c r="BA571" s="1831"/>
      <c r="BB571" s="1831"/>
      <c r="BC571" s="1831"/>
      <c r="BD571" s="1831"/>
      <c r="BE571" s="1831"/>
      <c r="BF571" s="1831"/>
      <c r="BG571" s="1644"/>
    </row>
    <row customHeight="1" ht="11.25">
      <c r="A572" s="1175" t="s">
        <v>1036</v>
      </c>
      <c r="B572" s="1175" t="s">
        <v>1068</v>
      </c>
      <c r="C572" s="1175"/>
      <c r="D572" s="1169"/>
      <c r="E572" s="1179"/>
      <c r="F572" s="1837"/>
      <c r="G572" s="692" t="s">
        <v>104</v>
      </c>
      <c r="H572" s="2543" t="s">
        <v>1308</v>
      </c>
      <c r="I572" s="2544" t="s">
        <v>1069</v>
      </c>
      <c r="J572" s="2513" t="s">
        <v>1070</v>
      </c>
      <c r="K572" s="2545" t="s">
        <v>1309</v>
      </c>
      <c r="L572" s="2135" t="s">
        <v>19</v>
      </c>
      <c r="M572" s="2136"/>
      <c r="N572" s="1992"/>
      <c r="O572" s="1186" t="s">
        <v>391</v>
      </c>
      <c r="P572" s="1187"/>
      <c r="Q572" s="1187"/>
      <c r="R572" s="1187"/>
      <c r="S572" s="1187"/>
      <c r="T572" s="1187"/>
      <c r="U572" s="1187"/>
      <c r="V572" s="1187"/>
      <c r="W572" s="1187"/>
      <c r="X572" s="1187"/>
      <c r="Y572" s="1187"/>
      <c r="Z572" s="1187"/>
      <c r="AA572" s="1187"/>
      <c r="AB572" s="1187"/>
      <c r="AC572" s="1187"/>
      <c r="AD572" s="1187"/>
      <c r="AE572" s="1187"/>
      <c r="AF572" s="2534">
        <v>2</v>
      </c>
      <c r="AG572" s="2535" t="s">
        <v>1072</v>
      </c>
      <c r="AH572" s="2535" t="s">
        <v>1073</v>
      </c>
      <c r="AI572" s="2905"/>
      <c r="AJ572" s="2535" t="s">
        <v>1074</v>
      </c>
      <c r="AK572" s="2535" t="s">
        <v>1074</v>
      </c>
      <c r="AL572" s="1994"/>
      <c r="AM572" s="1831"/>
      <c r="AN572" s="1831"/>
      <c r="AO572" s="1831"/>
      <c r="AP572" s="1831"/>
      <c r="AQ572" s="1831"/>
      <c r="AR572" s="1831"/>
      <c r="AS572" s="1831"/>
      <c r="AT572" s="1831"/>
      <c r="AU572" s="1831"/>
      <c r="AV572" s="1831"/>
      <c r="AW572" s="1831"/>
      <c r="AX572" s="1831"/>
      <c r="AY572" s="1831"/>
      <c r="AZ572" s="1831"/>
      <c r="BA572" s="1831"/>
      <c r="BB572" s="1831"/>
      <c r="BC572" s="1831"/>
      <c r="BD572" s="1831"/>
      <c r="BE572" s="1831"/>
      <c r="BF572" s="1831"/>
      <c r="BG572" s="1644"/>
    </row>
    <row customHeight="1" ht="11.25">
      <c r="A573" s="1175" t="s">
        <v>1036</v>
      </c>
      <c r="B573" s="1175"/>
      <c r="C573" s="1175"/>
      <c r="D573" s="1169"/>
      <c r="E573" s="1179"/>
      <c r="F573" s="1837"/>
      <c r="G573" s="1838"/>
      <c r="H573" s="2543" t="s">
        <v>1306</v>
      </c>
      <c r="I573" s="2544"/>
      <c r="J573" s="2513"/>
      <c r="K573" s="2545"/>
      <c r="L573" s="2135"/>
      <c r="M573" s="2136"/>
      <c r="N573" s="2536"/>
      <c r="O573" s="2537">
        <v>1</v>
      </c>
      <c r="P573" s="2538" t="s">
        <v>63</v>
      </c>
      <c r="Q573" s="2911" t="s">
        <v>1256</v>
      </c>
      <c r="R573" s="2912" t="s">
        <v>1076</v>
      </c>
      <c r="S573" s="2912" t="s">
        <v>110</v>
      </c>
      <c r="T573" s="2912" t="s">
        <v>110</v>
      </c>
      <c r="U573" s="2912" t="s">
        <v>111</v>
      </c>
      <c r="V573" s="2912" t="s">
        <v>1257</v>
      </c>
      <c r="W573" s="2912" t="s">
        <v>1258</v>
      </c>
      <c r="X573" s="2912" t="s">
        <v>1259</v>
      </c>
      <c r="Y573" s="2912" t="s">
        <v>103</v>
      </c>
      <c r="Z573" s="1184"/>
      <c r="AA573" s="1185"/>
      <c r="AB573" s="1185"/>
      <c r="AC573" s="1189"/>
      <c r="AD573" s="1189"/>
      <c r="AE573" s="1190"/>
      <c r="AF573" s="2534"/>
      <c r="AG573" s="2535"/>
      <c r="AH573" s="2535"/>
      <c r="AI573" s="2905"/>
      <c r="AJ573" s="2535"/>
      <c r="AK573" s="2535"/>
      <c r="AL573" s="1994"/>
      <c r="AM573" s="1831"/>
      <c r="AN573" s="1831"/>
      <c r="AO573" s="1831"/>
      <c r="AP573" s="1831"/>
      <c r="AQ573" s="1831"/>
      <c r="AR573" s="1831"/>
      <c r="AS573" s="1831"/>
      <c r="AT573" s="1831"/>
      <c r="AU573" s="1831"/>
      <c r="AV573" s="1831"/>
      <c r="AW573" s="1831"/>
      <c r="AX573" s="1831"/>
      <c r="AY573" s="1831"/>
      <c r="AZ573" s="1831"/>
      <c r="BA573" s="1831"/>
      <c r="BB573" s="1831"/>
      <c r="BC573" s="1831"/>
      <c r="BD573" s="1831"/>
      <c r="BE573" s="1831"/>
      <c r="BF573" s="1831"/>
      <c r="BG573" s="1644"/>
    </row>
    <row customHeight="1" ht="11.25">
      <c r="A574" s="1175" t="s">
        <v>1036</v>
      </c>
      <c r="B574" s="1175"/>
      <c r="C574" s="1175"/>
      <c r="D574" s="1169"/>
      <c r="E574" s="1179"/>
      <c r="F574" s="1837"/>
      <c r="G574" s="1838"/>
      <c r="H574" s="2543" t="s">
        <v>1306</v>
      </c>
      <c r="I574" s="2544"/>
      <c r="J574" s="2513"/>
      <c r="K574" s="2545"/>
      <c r="L574" s="2135"/>
      <c r="M574" s="2136"/>
      <c r="N574" s="2536"/>
      <c r="O574" s="2537"/>
      <c r="P574" s="2539"/>
      <c r="Q574" s="2911"/>
      <c r="R574" s="2541"/>
      <c r="S574" s="2542"/>
      <c r="T574" s="2541"/>
      <c r="U574" s="2541"/>
      <c r="V574" s="2541"/>
      <c r="W574" s="2541"/>
      <c r="X574" s="2541"/>
      <c r="Y574" s="2541"/>
      <c r="Z574" s="1836"/>
      <c r="AA574" s="1802">
        <v>1</v>
      </c>
      <c r="AB574" s="1188" t="s">
        <v>1125</v>
      </c>
      <c r="AC574" s="1178">
        <v>0</v>
      </c>
      <c r="AD574" s="1188" t="str">
        <f>AB574</f>
        <v>  Прочие</v>
      </c>
      <c r="AE574" s="1178">
        <v>353.66</v>
      </c>
      <c r="AF574" s="2534"/>
      <c r="AG574" s="2535"/>
      <c r="AH574" s="2535"/>
      <c r="AI574" s="2905"/>
      <c r="AJ574" s="2535"/>
      <c r="AK574" s="2535"/>
      <c r="AL574" s="1994"/>
      <c r="AM574" s="1831"/>
      <c r="AN574" s="1831"/>
      <c r="AO574" s="1831"/>
      <c r="AP574" s="1831"/>
      <c r="AQ574" s="1831"/>
      <c r="AR574" s="1831"/>
      <c r="AS574" s="1831"/>
      <c r="AT574" s="1831"/>
      <c r="AU574" s="1831"/>
      <c r="AV574" s="1831"/>
      <c r="AW574" s="1831"/>
      <c r="AX574" s="1831"/>
      <c r="AY574" s="1831"/>
      <c r="AZ574" s="1831"/>
      <c r="BA574" s="1831"/>
      <c r="BB574" s="1831"/>
      <c r="BC574" s="1831"/>
      <c r="BD574" s="1831"/>
      <c r="BE574" s="1831"/>
      <c r="BF574" s="1831"/>
      <c r="BG574" s="1644"/>
    </row>
    <row customHeight="1" ht="11.25">
      <c r="A575" s="1175" t="s">
        <v>1036</v>
      </c>
      <c r="B575" s="1175"/>
      <c r="C575" s="1175"/>
      <c r="D575" s="1169"/>
      <c r="E575" s="1179"/>
      <c r="F575" s="1837"/>
      <c r="G575" s="1838"/>
      <c r="H575" s="2543" t="s">
        <v>1306</v>
      </c>
      <c r="I575" s="2544"/>
      <c r="J575" s="2513"/>
      <c r="K575" s="2545"/>
      <c r="L575" s="2135"/>
      <c r="M575" s="2136"/>
      <c r="N575" s="2536"/>
      <c r="O575" s="2537"/>
      <c r="P575" s="2540"/>
      <c r="Q575" s="2911"/>
      <c r="R575" s="2541"/>
      <c r="S575" s="2542"/>
      <c r="T575" s="2541"/>
      <c r="U575" s="2541"/>
      <c r="V575" s="2541"/>
      <c r="W575" s="2541"/>
      <c r="X575" s="2541"/>
      <c r="Y575" s="2541"/>
      <c r="Z575" s="1184"/>
      <c r="AA575" s="1185"/>
      <c r="AB575" s="1250" t="s">
        <v>1082</v>
      </c>
      <c r="AC575" s="1189"/>
      <c r="AD575" s="1189"/>
      <c r="AE575" s="1191"/>
      <c r="AF575" s="2534"/>
      <c r="AG575" s="2535"/>
      <c r="AH575" s="2535"/>
      <c r="AI575" s="2905"/>
      <c r="AJ575" s="2535"/>
      <c r="AK575" s="2535"/>
      <c r="AL575" s="1994"/>
      <c r="AM575" s="1831"/>
      <c r="AN575" s="1831"/>
      <c r="AO575" s="1831"/>
      <c r="AP575" s="1831"/>
      <c r="AQ575" s="1831"/>
      <c r="AR575" s="1831"/>
      <c r="AS575" s="1831"/>
      <c r="AT575" s="1831"/>
      <c r="AU575" s="1831"/>
      <c r="AV575" s="1831"/>
      <c r="AW575" s="1831"/>
      <c r="AX575" s="1831"/>
      <c r="AY575" s="1831"/>
      <c r="AZ575" s="1831"/>
      <c r="BA575" s="1831"/>
      <c r="BB575" s="1831"/>
      <c r="BC575" s="1831"/>
      <c r="BD575" s="1831"/>
      <c r="BE575" s="1831"/>
      <c r="BF575" s="1831"/>
      <c r="BG575" s="1644"/>
    </row>
    <row customHeight="1" ht="11.25">
      <c r="A576" s="1175" t="s">
        <v>1036</v>
      </c>
      <c r="B576" s="1175"/>
      <c r="C576" s="1175"/>
      <c r="D576" s="1169"/>
      <c r="E576" s="1179"/>
      <c r="F576" s="1837"/>
      <c r="G576" s="1838"/>
      <c r="H576" s="2543" t="s">
        <v>1306</v>
      </c>
      <c r="I576" s="2544"/>
      <c r="J576" s="2513"/>
      <c r="K576" s="2545"/>
      <c r="L576" s="2135"/>
      <c r="M576" s="2136"/>
      <c r="N576" s="1184"/>
      <c r="O576" s="1185"/>
      <c r="P576" s="1177" t="s">
        <v>1083</v>
      </c>
      <c r="Q576" s="1185"/>
      <c r="R576" s="1185"/>
      <c r="S576" s="1185"/>
      <c r="T576" s="1185"/>
      <c r="U576" s="1185"/>
      <c r="V576" s="1185"/>
      <c r="W576" s="1185"/>
      <c r="X576" s="1185"/>
      <c r="Y576" s="1185"/>
      <c r="Z576" s="1185"/>
      <c r="AA576" s="1185"/>
      <c r="AB576" s="1185"/>
      <c r="AC576" s="1185"/>
      <c r="AD576" s="1185"/>
      <c r="AE576" s="1192"/>
      <c r="AF576" s="2534"/>
      <c r="AG576" s="2535"/>
      <c r="AH576" s="2535"/>
      <c r="AI576" s="2905"/>
      <c r="AJ576" s="2535"/>
      <c r="AK576" s="2535"/>
      <c r="AL576" s="1994"/>
      <c r="AM576" s="1831"/>
      <c r="AN576" s="1831"/>
      <c r="AO576" s="1831"/>
      <c r="AP576" s="1831"/>
      <c r="AQ576" s="1831"/>
      <c r="AR576" s="1831"/>
      <c r="AS576" s="1831"/>
      <c r="AT576" s="1831"/>
      <c r="AU576" s="1831"/>
      <c r="AV576" s="1831"/>
      <c r="AW576" s="1831"/>
      <c r="AX576" s="1831"/>
      <c r="AY576" s="1831"/>
      <c r="AZ576" s="1831"/>
      <c r="BA576" s="1831"/>
      <c r="BB576" s="1831"/>
      <c r="BC576" s="1831"/>
      <c r="BD576" s="1831"/>
      <c r="BE576" s="1831"/>
      <c r="BF576" s="1831"/>
      <c r="BG576" s="1644"/>
    </row>
    <row customHeight="1" ht="11.25">
      <c r="A577" s="1175" t="s">
        <v>1036</v>
      </c>
      <c r="B577" s="1175" t="s">
        <v>22</v>
      </c>
      <c r="C577" s="1175"/>
      <c r="D577" s="1169"/>
      <c r="E577" s="1179"/>
      <c r="F577" s="1837"/>
      <c r="G577" s="692" t="s">
        <v>104</v>
      </c>
      <c r="H577" s="2543" t="s">
        <v>1310</v>
      </c>
      <c r="I577" s="2544" t="s">
        <v>1137</v>
      </c>
      <c r="J577" s="2913" t="s">
        <v>22</v>
      </c>
      <c r="K577" s="2545" t="s">
        <v>1311</v>
      </c>
      <c r="L577" s="2135" t="s">
        <v>19</v>
      </c>
      <c r="M577" s="2136"/>
      <c r="N577" s="1992"/>
      <c r="O577" s="1186" t="s">
        <v>391</v>
      </c>
      <c r="P577" s="1187"/>
      <c r="Q577" s="1187"/>
      <c r="R577" s="1187"/>
      <c r="S577" s="1187"/>
      <c r="T577" s="1187"/>
      <c r="U577" s="1187"/>
      <c r="V577" s="1187"/>
      <c r="W577" s="1187"/>
      <c r="X577" s="1187"/>
      <c r="Y577" s="1187"/>
      <c r="Z577" s="1187"/>
      <c r="AA577" s="1187"/>
      <c r="AB577" s="1187"/>
      <c r="AC577" s="1187"/>
      <c r="AD577" s="1187"/>
      <c r="AE577" s="1187"/>
      <c r="AF577" s="2534">
        <v>1</v>
      </c>
      <c r="AG577" s="2535" t="s">
        <v>1095</v>
      </c>
      <c r="AH577" s="2535" t="s">
        <v>1085</v>
      </c>
      <c r="AI577" s="2534">
        <v>1</v>
      </c>
      <c r="AJ577" s="2535" t="s">
        <v>1095</v>
      </c>
      <c r="AK577" s="2535" t="s">
        <v>1085</v>
      </c>
      <c r="AL577" s="1994"/>
      <c r="AM577" s="1831"/>
      <c r="AN577" s="1831"/>
      <c r="AO577" s="1831"/>
      <c r="AP577" s="1831"/>
      <c r="AQ577" s="1831"/>
      <c r="AR577" s="1831"/>
      <c r="AS577" s="1831"/>
      <c r="AT577" s="1831"/>
      <c r="AU577" s="1831"/>
      <c r="AV577" s="1831"/>
      <c r="AW577" s="1831"/>
      <c r="AX577" s="1831"/>
      <c r="AY577" s="1831"/>
      <c r="AZ577" s="1831"/>
      <c r="BA577" s="1831"/>
      <c r="BB577" s="1831"/>
      <c r="BC577" s="1831"/>
      <c r="BD577" s="1831"/>
      <c r="BE577" s="1831"/>
      <c r="BF577" s="1831"/>
      <c r="BG577" s="1644"/>
    </row>
    <row customHeight="1" ht="11.25">
      <c r="A578" s="1175" t="s">
        <v>1036</v>
      </c>
      <c r="B578" s="1175"/>
      <c r="C578" s="1175"/>
      <c r="D578" s="1169"/>
      <c r="E578" s="1179"/>
      <c r="F578" s="1837"/>
      <c r="G578" s="1838"/>
      <c r="H578" s="2543" t="s">
        <v>1308</v>
      </c>
      <c r="I578" s="2544"/>
      <c r="J578" s="2913"/>
      <c r="K578" s="2545"/>
      <c r="L578" s="2135"/>
      <c r="M578" s="2136"/>
      <c r="N578" s="2536"/>
      <c r="O578" s="2537">
        <v>1</v>
      </c>
      <c r="P578" s="2538" t="s">
        <v>63</v>
      </c>
      <c r="Q578" s="2911" t="s">
        <v>1256</v>
      </c>
      <c r="R578" s="2912" t="s">
        <v>1076</v>
      </c>
      <c r="S578" s="2912" t="s">
        <v>110</v>
      </c>
      <c r="T578" s="2912" t="s">
        <v>110</v>
      </c>
      <c r="U578" s="2912" t="s">
        <v>111</v>
      </c>
      <c r="V578" s="2912" t="s">
        <v>1257</v>
      </c>
      <c r="W578" s="2912" t="s">
        <v>1258</v>
      </c>
      <c r="X578" s="2912" t="s">
        <v>1259</v>
      </c>
      <c r="Y578" s="2912" t="s">
        <v>103</v>
      </c>
      <c r="Z578" s="1184"/>
      <c r="AA578" s="1185"/>
      <c r="AB578" s="1185"/>
      <c r="AC578" s="1189"/>
      <c r="AD578" s="1189"/>
      <c r="AE578" s="1190"/>
      <c r="AF578" s="2534"/>
      <c r="AG578" s="2535"/>
      <c r="AH578" s="2535"/>
      <c r="AI578" s="2534"/>
      <c r="AJ578" s="2535"/>
      <c r="AK578" s="2535"/>
      <c r="AL578" s="1994"/>
      <c r="AM578" s="1831"/>
      <c r="AN578" s="1831"/>
      <c r="AO578" s="1831"/>
      <c r="AP578" s="1831"/>
      <c r="AQ578" s="1831"/>
      <c r="AR578" s="1831"/>
      <c r="AS578" s="1831"/>
      <c r="AT578" s="1831"/>
      <c r="AU578" s="1831"/>
      <c r="AV578" s="1831"/>
      <c r="AW578" s="1831"/>
      <c r="AX578" s="1831"/>
      <c r="AY578" s="1831"/>
      <c r="AZ578" s="1831"/>
      <c r="BA578" s="1831"/>
      <c r="BB578" s="1831"/>
      <c r="BC578" s="1831"/>
      <c r="BD578" s="1831"/>
      <c r="BE578" s="1831"/>
      <c r="BF578" s="1831"/>
      <c r="BG578" s="1644"/>
    </row>
    <row customHeight="1" ht="11.25">
      <c r="A579" s="1175" t="s">
        <v>1036</v>
      </c>
      <c r="B579" s="1175"/>
      <c r="C579" s="1175"/>
      <c r="D579" s="1169"/>
      <c r="E579" s="1179"/>
      <c r="F579" s="1837"/>
      <c r="G579" s="1838"/>
      <c r="H579" s="2543" t="s">
        <v>1308</v>
      </c>
      <c r="I579" s="2544"/>
      <c r="J579" s="2913"/>
      <c r="K579" s="2545"/>
      <c r="L579" s="2135"/>
      <c r="M579" s="2136"/>
      <c r="N579" s="2536"/>
      <c r="O579" s="2537"/>
      <c r="P579" s="2539"/>
      <c r="Q579" s="2911"/>
      <c r="R579" s="2541"/>
      <c r="S579" s="2542"/>
      <c r="T579" s="2541"/>
      <c r="U579" s="2541"/>
      <c r="V579" s="2541"/>
      <c r="W579" s="2541"/>
      <c r="X579" s="2541"/>
      <c r="Y579" s="2541"/>
      <c r="Z579" s="1836"/>
      <c r="AA579" s="1802">
        <v>1</v>
      </c>
      <c r="AB579" s="1188" t="s">
        <v>1091</v>
      </c>
      <c r="AC579" s="1178">
        <v>0</v>
      </c>
      <c r="AD579" s="1188" t="str">
        <f>AB579</f>
        <v>  Прочие собственные средства</v>
      </c>
      <c r="AE579" s="1178">
        <v>184.5</v>
      </c>
      <c r="AF579" s="2534"/>
      <c r="AG579" s="2535"/>
      <c r="AH579" s="2535"/>
      <c r="AI579" s="2534"/>
      <c r="AJ579" s="2535"/>
      <c r="AK579" s="2535"/>
      <c r="AL579" s="1994"/>
      <c r="AM579" s="1831"/>
      <c r="AN579" s="1831"/>
      <c r="AO579" s="1831"/>
      <c r="AP579" s="1831"/>
      <c r="AQ579" s="1831"/>
      <c r="AR579" s="1831"/>
      <c r="AS579" s="1831"/>
      <c r="AT579" s="1831"/>
      <c r="AU579" s="1831"/>
      <c r="AV579" s="1831"/>
      <c r="AW579" s="1831"/>
      <c r="AX579" s="1831"/>
      <c r="AY579" s="1831"/>
      <c r="AZ579" s="1831"/>
      <c r="BA579" s="1831"/>
      <c r="BB579" s="1831"/>
      <c r="BC579" s="1831"/>
      <c r="BD579" s="1831"/>
      <c r="BE579" s="1831"/>
      <c r="BF579" s="1831"/>
      <c r="BG579" s="1644"/>
    </row>
    <row customHeight="1" ht="11.25">
      <c r="A580" s="1175" t="s">
        <v>1036</v>
      </c>
      <c r="B580" s="1175"/>
      <c r="C580" s="1175"/>
      <c r="D580" s="1169"/>
      <c r="E580" s="1179"/>
      <c r="F580" s="1837"/>
      <c r="G580" s="1838"/>
      <c r="H580" s="2543" t="s">
        <v>1308</v>
      </c>
      <c r="I580" s="2544"/>
      <c r="J580" s="2913"/>
      <c r="K580" s="2545"/>
      <c r="L580" s="2135"/>
      <c r="M580" s="2136"/>
      <c r="N580" s="2536"/>
      <c r="O580" s="2537"/>
      <c r="P580" s="2540"/>
      <c r="Q580" s="2911"/>
      <c r="R580" s="2541"/>
      <c r="S580" s="2542"/>
      <c r="T580" s="2541"/>
      <c r="U580" s="2541"/>
      <c r="V580" s="2541"/>
      <c r="W580" s="2541"/>
      <c r="X580" s="2541"/>
      <c r="Y580" s="2541"/>
      <c r="Z580" s="1184"/>
      <c r="AA580" s="1185"/>
      <c r="AB580" s="1250" t="s">
        <v>1082</v>
      </c>
      <c r="AC580" s="1189"/>
      <c r="AD580" s="1189"/>
      <c r="AE580" s="1191"/>
      <c r="AF580" s="2534"/>
      <c r="AG580" s="2535"/>
      <c r="AH580" s="2535"/>
      <c r="AI580" s="2534"/>
      <c r="AJ580" s="2535"/>
      <c r="AK580" s="2535"/>
      <c r="AL580" s="1994"/>
      <c r="AM580" s="1831"/>
      <c r="AN580" s="1831"/>
      <c r="AO580" s="1831"/>
      <c r="AP580" s="1831"/>
      <c r="AQ580" s="1831"/>
      <c r="AR580" s="1831"/>
      <c r="AS580" s="1831"/>
      <c r="AT580" s="1831"/>
      <c r="AU580" s="1831"/>
      <c r="AV580" s="1831"/>
      <c r="AW580" s="1831"/>
      <c r="AX580" s="1831"/>
      <c r="AY580" s="1831"/>
      <c r="AZ580" s="1831"/>
      <c r="BA580" s="1831"/>
      <c r="BB580" s="1831"/>
      <c r="BC580" s="1831"/>
      <c r="BD580" s="1831"/>
      <c r="BE580" s="1831"/>
      <c r="BF580" s="1831"/>
      <c r="BG580" s="1644"/>
    </row>
    <row customHeight="1" ht="11.25">
      <c r="A581" s="1175" t="s">
        <v>1036</v>
      </c>
      <c r="B581" s="1175"/>
      <c r="C581" s="1175"/>
      <c r="D581" s="1169"/>
      <c r="E581" s="1179"/>
      <c r="F581" s="1837"/>
      <c r="G581" s="1838"/>
      <c r="H581" s="2543" t="s">
        <v>1308</v>
      </c>
      <c r="I581" s="2544"/>
      <c r="J581" s="2913"/>
      <c r="K581" s="2545"/>
      <c r="L581" s="2135"/>
      <c r="M581" s="2136"/>
      <c r="N581" s="1184"/>
      <c r="O581" s="1185"/>
      <c r="P581" s="1177" t="s">
        <v>1083</v>
      </c>
      <c r="Q581" s="1185"/>
      <c r="R581" s="1185"/>
      <c r="S581" s="1185"/>
      <c r="T581" s="1185"/>
      <c r="U581" s="1185"/>
      <c r="V581" s="1185"/>
      <c r="W581" s="1185"/>
      <c r="X581" s="1185"/>
      <c r="Y581" s="1185"/>
      <c r="Z581" s="1185"/>
      <c r="AA581" s="1185"/>
      <c r="AB581" s="1185"/>
      <c r="AC581" s="1185"/>
      <c r="AD581" s="1185"/>
      <c r="AE581" s="1192"/>
      <c r="AF581" s="2534"/>
      <c r="AG581" s="2535"/>
      <c r="AH581" s="2535"/>
      <c r="AI581" s="2534"/>
      <c r="AJ581" s="2535"/>
      <c r="AK581" s="2535"/>
      <c r="AL581" s="1994"/>
      <c r="AM581" s="1831"/>
      <c r="AN581" s="1831"/>
      <c r="AO581" s="1831"/>
      <c r="AP581" s="1831"/>
      <c r="AQ581" s="1831"/>
      <c r="AR581" s="1831"/>
      <c r="AS581" s="1831"/>
      <c r="AT581" s="1831"/>
      <c r="AU581" s="1831"/>
      <c r="AV581" s="1831"/>
      <c r="AW581" s="1831"/>
      <c r="AX581" s="1831"/>
      <c r="AY581" s="1831"/>
      <c r="AZ581" s="1831"/>
      <c r="BA581" s="1831"/>
      <c r="BB581" s="1831"/>
      <c r="BC581" s="1831"/>
      <c r="BD581" s="1831"/>
      <c r="BE581" s="1831"/>
      <c r="BF581" s="1831"/>
      <c r="BG581" s="1644"/>
    </row>
    <row customHeight="1" ht="11.25">
      <c r="A582" s="1175" t="s">
        <v>1036</v>
      </c>
      <c r="B582" s="1175" t="s">
        <v>1165</v>
      </c>
      <c r="C582" s="1175"/>
      <c r="D582" s="1169"/>
      <c r="E582" s="1179"/>
      <c r="F582" s="1837"/>
      <c r="G582" s="692" t="s">
        <v>104</v>
      </c>
      <c r="H582" s="2543" t="s">
        <v>1312</v>
      </c>
      <c r="I582" s="2544" t="s">
        <v>1167</v>
      </c>
      <c r="J582" s="2513" t="s">
        <v>1173</v>
      </c>
      <c r="K582" s="2545" t="s">
        <v>1313</v>
      </c>
      <c r="L582" s="2135" t="s">
        <v>19</v>
      </c>
      <c r="M582" s="2136"/>
      <c r="N582" s="1992"/>
      <c r="O582" s="1186" t="s">
        <v>391</v>
      </c>
      <c r="P582" s="1187"/>
      <c r="Q582" s="1187"/>
      <c r="R582" s="1187"/>
      <c r="S582" s="1187"/>
      <c r="T582" s="1187"/>
      <c r="U582" s="1187"/>
      <c r="V582" s="1187"/>
      <c r="W582" s="1187"/>
      <c r="X582" s="1187"/>
      <c r="Y582" s="1187"/>
      <c r="Z582" s="1187"/>
      <c r="AA582" s="1187"/>
      <c r="AB582" s="1187"/>
      <c r="AC582" s="1187"/>
      <c r="AD582" s="1187"/>
      <c r="AE582" s="1187"/>
      <c r="AF582" s="2534">
        <v>2</v>
      </c>
      <c r="AG582" s="2535" t="s">
        <v>1094</v>
      </c>
      <c r="AH582" s="2535" t="s">
        <v>1073</v>
      </c>
      <c r="AI582" s="2905"/>
      <c r="AJ582" s="2535" t="s">
        <v>1074</v>
      </c>
      <c r="AK582" s="2535" t="s">
        <v>1074</v>
      </c>
      <c r="AL582" s="1994"/>
      <c r="AM582" s="1831"/>
      <c r="AN582" s="1831"/>
      <c r="AO582" s="1831"/>
      <c r="AP582" s="1831"/>
      <c r="AQ582" s="1831"/>
      <c r="AR582" s="1831"/>
      <c r="AS582" s="1831"/>
      <c r="AT582" s="1831"/>
      <c r="AU582" s="1831"/>
      <c r="AV582" s="1831"/>
      <c r="AW582" s="1831"/>
      <c r="AX582" s="1831"/>
      <c r="AY582" s="1831"/>
      <c r="AZ582" s="1831"/>
      <c r="BA582" s="1831"/>
      <c r="BB582" s="1831"/>
      <c r="BC582" s="1831"/>
      <c r="BD582" s="1831"/>
      <c r="BE582" s="1831"/>
      <c r="BF582" s="1831"/>
      <c r="BG582" s="1644"/>
    </row>
    <row customHeight="1" ht="11.25">
      <c r="A583" s="1175" t="s">
        <v>1036</v>
      </c>
      <c r="B583" s="1175"/>
      <c r="C583" s="1175"/>
      <c r="D583" s="1169"/>
      <c r="E583" s="1179"/>
      <c r="F583" s="1837"/>
      <c r="G583" s="1838"/>
      <c r="H583" s="2543" t="s">
        <v>1310</v>
      </c>
      <c r="I583" s="2544"/>
      <c r="J583" s="2513"/>
      <c r="K583" s="2545"/>
      <c r="L583" s="2135"/>
      <c r="M583" s="2136"/>
      <c r="N583" s="2536"/>
      <c r="O583" s="2537">
        <v>1</v>
      </c>
      <c r="P583" s="2538" t="s">
        <v>63</v>
      </c>
      <c r="Q583" s="2911" t="s">
        <v>1096</v>
      </c>
      <c r="R583" s="2912" t="s">
        <v>1097</v>
      </c>
      <c r="S583" s="2912" t="s">
        <v>106</v>
      </c>
      <c r="T583" s="2912" t="s">
        <v>106</v>
      </c>
      <c r="U583" s="2912" t="s">
        <v>107</v>
      </c>
      <c r="V583" s="2912" t="s">
        <v>1077</v>
      </c>
      <c r="W583" s="2912" t="s">
        <v>1078</v>
      </c>
      <c r="X583" s="2912" t="s">
        <v>1098</v>
      </c>
      <c r="Y583" s="2912" t="s">
        <v>1099</v>
      </c>
      <c r="Z583" s="1184"/>
      <c r="AA583" s="1185"/>
      <c r="AB583" s="1185"/>
      <c r="AC583" s="1189"/>
      <c r="AD583" s="1189"/>
      <c r="AE583" s="1190"/>
      <c r="AF583" s="2534"/>
      <c r="AG583" s="2535"/>
      <c r="AH583" s="2535"/>
      <c r="AI583" s="2905"/>
      <c r="AJ583" s="2535"/>
      <c r="AK583" s="2535"/>
      <c r="AL583" s="1994"/>
      <c r="AM583" s="1831"/>
      <c r="AN583" s="1831"/>
      <c r="AO583" s="1831"/>
      <c r="AP583" s="1831"/>
      <c r="AQ583" s="1831"/>
      <c r="AR583" s="1831"/>
      <c r="AS583" s="1831"/>
      <c r="AT583" s="1831"/>
      <c r="AU583" s="1831"/>
      <c r="AV583" s="1831"/>
      <c r="AW583" s="1831"/>
      <c r="AX583" s="1831"/>
      <c r="AY583" s="1831"/>
      <c r="AZ583" s="1831"/>
      <c r="BA583" s="1831"/>
      <c r="BB583" s="1831"/>
      <c r="BC583" s="1831"/>
      <c r="BD583" s="1831"/>
      <c r="BE583" s="1831"/>
      <c r="BF583" s="1831"/>
      <c r="BG583" s="1644"/>
    </row>
    <row customHeight="1" ht="11.25">
      <c r="A584" s="1175" t="s">
        <v>1036</v>
      </c>
      <c r="B584" s="1175"/>
      <c r="C584" s="1175"/>
      <c r="D584" s="1169"/>
      <c r="E584" s="1179"/>
      <c r="F584" s="1837"/>
      <c r="G584" s="1838"/>
      <c r="H584" s="2543" t="s">
        <v>1310</v>
      </c>
      <c r="I584" s="2544"/>
      <c r="J584" s="2513"/>
      <c r="K584" s="2545"/>
      <c r="L584" s="2135"/>
      <c r="M584" s="2136"/>
      <c r="N584" s="2536"/>
      <c r="O584" s="2537"/>
      <c r="P584" s="2539"/>
      <c r="Q584" s="2911"/>
      <c r="R584" s="2541"/>
      <c r="S584" s="2542"/>
      <c r="T584" s="2541"/>
      <c r="U584" s="2541"/>
      <c r="V584" s="2541"/>
      <c r="W584" s="2541"/>
      <c r="X584" s="2541"/>
      <c r="Y584" s="2541"/>
      <c r="Z584" s="1836"/>
      <c r="AA584" s="1802">
        <v>1</v>
      </c>
      <c r="AB584" s="1188" t="s">
        <v>1164</v>
      </c>
      <c r="AC584" s="1178">
        <v>0</v>
      </c>
      <c r="AD584" s="1188" t="str">
        <f>AB584</f>
        <v>  За счет платы за технологическое присоединение</v>
      </c>
      <c r="AE584" s="1178">
        <v>3726.39</v>
      </c>
      <c r="AF584" s="2534"/>
      <c r="AG584" s="2535"/>
      <c r="AH584" s="2535"/>
      <c r="AI584" s="2905"/>
      <c r="AJ584" s="2535"/>
      <c r="AK584" s="2535"/>
      <c r="AL584" s="1994"/>
      <c r="AM584" s="1831"/>
      <c r="AN584" s="1831"/>
      <c r="AO584" s="1831"/>
      <c r="AP584" s="1831"/>
      <c r="AQ584" s="1831"/>
      <c r="AR584" s="1831"/>
      <c r="AS584" s="1831"/>
      <c r="AT584" s="1831"/>
      <c r="AU584" s="1831"/>
      <c r="AV584" s="1831"/>
      <c r="AW584" s="1831"/>
      <c r="AX584" s="1831"/>
      <c r="AY584" s="1831"/>
      <c r="AZ584" s="1831"/>
      <c r="BA584" s="1831"/>
      <c r="BB584" s="1831"/>
      <c r="BC584" s="1831"/>
      <c r="BD584" s="1831"/>
      <c r="BE584" s="1831"/>
      <c r="BF584" s="1831"/>
      <c r="BG584" s="1644"/>
    </row>
    <row customHeight="1" ht="11.25">
      <c r="A585" s="1175" t="s">
        <v>1036</v>
      </c>
      <c r="B585" s="1175"/>
      <c r="C585" s="1175"/>
      <c r="D585" s="1169"/>
      <c r="E585" s="1179"/>
      <c r="F585" s="1838"/>
      <c r="G585" s="1838"/>
      <c r="H585" s="1838"/>
      <c r="I585" s="1838"/>
      <c r="J585" s="2914"/>
      <c r="K585" s="1838"/>
      <c r="L585" s="1838"/>
      <c r="M585" s="1838"/>
      <c r="N585" s="1838"/>
      <c r="O585" s="1838"/>
      <c r="P585" s="1838"/>
      <c r="Q585" s="1838"/>
      <c r="R585" s="1838"/>
      <c r="S585" s="1838"/>
      <c r="T585" s="1838"/>
      <c r="U585" s="1838"/>
      <c r="V585" s="1838"/>
      <c r="W585" s="1838"/>
      <c r="X585" s="1838"/>
      <c r="Y585" s="1838"/>
      <c r="Z585" s="692" t="s">
        <v>104</v>
      </c>
      <c r="AA585" s="1822" t="s">
        <v>103</v>
      </c>
      <c r="AB585" s="1188" t="s">
        <v>1091</v>
      </c>
      <c r="AC585" s="1178">
        <v>0</v>
      </c>
      <c r="AD585" s="1188" t="str">
        <f>AB585</f>
        <v>  Прочие собственные средства</v>
      </c>
      <c r="AE585" s="1178">
        <v>3177.53</v>
      </c>
      <c r="AF585" s="2095"/>
      <c r="AG585" s="1767"/>
      <c r="AH585" s="1767"/>
      <c r="AI585" s="2909"/>
      <c r="AJ585" s="1767"/>
      <c r="AK585" s="1993"/>
      <c r="AL585" s="1994"/>
      <c r="AM585" s="1831"/>
      <c r="AN585" s="1831"/>
      <c r="AO585" s="1831"/>
      <c r="AP585" s="1831"/>
      <c r="AQ585" s="1831"/>
      <c r="AR585" s="1831"/>
      <c r="AS585" s="1831"/>
      <c r="AT585" s="1831"/>
      <c r="AU585" s="1831"/>
      <c r="AV585" s="1831"/>
      <c r="AW585" s="1831"/>
      <c r="AX585" s="1831"/>
      <c r="AY585" s="1831"/>
      <c r="AZ585" s="1831"/>
      <c r="BA585" s="1831"/>
      <c r="BB585" s="1831"/>
      <c r="BC585" s="1831"/>
      <c r="BD585" s="1831"/>
      <c r="BE585" s="1831"/>
      <c r="BF585" s="1831"/>
      <c r="BG585" s="1644"/>
    </row>
    <row customHeight="1" ht="11.25">
      <c r="A586" s="1175" t="s">
        <v>1036</v>
      </c>
      <c r="B586" s="1175"/>
      <c r="C586" s="1175"/>
      <c r="D586" s="1169"/>
      <c r="E586" s="1179"/>
      <c r="F586" s="1837"/>
      <c r="G586" s="1838"/>
      <c r="H586" s="2543" t="s">
        <v>1310</v>
      </c>
      <c r="I586" s="2544"/>
      <c r="J586" s="2513"/>
      <c r="K586" s="2545"/>
      <c r="L586" s="2135"/>
      <c r="M586" s="2136"/>
      <c r="N586" s="2536"/>
      <c r="O586" s="2537"/>
      <c r="P586" s="2540"/>
      <c r="Q586" s="2911"/>
      <c r="R586" s="2541"/>
      <c r="S586" s="2542"/>
      <c r="T586" s="2541"/>
      <c r="U586" s="2541"/>
      <c r="V586" s="2541"/>
      <c r="W586" s="2541"/>
      <c r="X586" s="2541"/>
      <c r="Y586" s="2541"/>
      <c r="Z586" s="1184"/>
      <c r="AA586" s="1185"/>
      <c r="AB586" s="1250" t="s">
        <v>1082</v>
      </c>
      <c r="AC586" s="1189"/>
      <c r="AD586" s="1189"/>
      <c r="AE586" s="1191"/>
      <c r="AF586" s="2534"/>
      <c r="AG586" s="2535"/>
      <c r="AH586" s="2535"/>
      <c r="AI586" s="2905"/>
      <c r="AJ586" s="2535"/>
      <c r="AK586" s="2535"/>
      <c r="AL586" s="1994"/>
      <c r="AM586" s="1831"/>
      <c r="AN586" s="1831"/>
      <c r="AO586" s="1831"/>
      <c r="AP586" s="1831"/>
      <c r="AQ586" s="1831"/>
      <c r="AR586" s="1831"/>
      <c r="AS586" s="1831"/>
      <c r="AT586" s="1831"/>
      <c r="AU586" s="1831"/>
      <c r="AV586" s="1831"/>
      <c r="AW586" s="1831"/>
      <c r="AX586" s="1831"/>
      <c r="AY586" s="1831"/>
      <c r="AZ586" s="1831"/>
      <c r="BA586" s="1831"/>
      <c r="BB586" s="1831"/>
      <c r="BC586" s="1831"/>
      <c r="BD586" s="1831"/>
      <c r="BE586" s="1831"/>
      <c r="BF586" s="1831"/>
      <c r="BG586" s="1644"/>
    </row>
    <row customHeight="1" ht="11.25">
      <c r="A587" s="1175" t="s">
        <v>1036</v>
      </c>
      <c r="B587" s="1175"/>
      <c r="C587" s="1175"/>
      <c r="D587" s="1169"/>
      <c r="E587" s="1179"/>
      <c r="F587" s="1837"/>
      <c r="G587" s="1838"/>
      <c r="H587" s="2543" t="s">
        <v>1310</v>
      </c>
      <c r="I587" s="2544"/>
      <c r="J587" s="2513"/>
      <c r="K587" s="2545"/>
      <c r="L587" s="2135"/>
      <c r="M587" s="2136"/>
      <c r="N587" s="1184"/>
      <c r="O587" s="1185"/>
      <c r="P587" s="1177" t="s">
        <v>1083</v>
      </c>
      <c r="Q587" s="1185"/>
      <c r="R587" s="1185"/>
      <c r="S587" s="1185"/>
      <c r="T587" s="1185"/>
      <c r="U587" s="1185"/>
      <c r="V587" s="1185"/>
      <c r="W587" s="1185"/>
      <c r="X587" s="1185"/>
      <c r="Y587" s="1185"/>
      <c r="Z587" s="1185"/>
      <c r="AA587" s="1185"/>
      <c r="AB587" s="1185"/>
      <c r="AC587" s="1185"/>
      <c r="AD587" s="1185"/>
      <c r="AE587" s="1192"/>
      <c r="AF587" s="2534"/>
      <c r="AG587" s="2535"/>
      <c r="AH587" s="2535"/>
      <c r="AI587" s="2905"/>
      <c r="AJ587" s="2535"/>
      <c r="AK587" s="2535"/>
      <c r="AL587" s="1994"/>
      <c r="AM587" s="1831"/>
      <c r="AN587" s="1831"/>
      <c r="AO587" s="1831"/>
      <c r="AP587" s="1831"/>
      <c r="AQ587" s="1831"/>
      <c r="AR587" s="1831"/>
      <c r="AS587" s="1831"/>
      <c r="AT587" s="1831"/>
      <c r="AU587" s="1831"/>
      <c r="AV587" s="1831"/>
      <c r="AW587" s="1831"/>
      <c r="AX587" s="1831"/>
      <c r="AY587" s="1831"/>
      <c r="AZ587" s="1831"/>
      <c r="BA587" s="1831"/>
      <c r="BB587" s="1831"/>
      <c r="BC587" s="1831"/>
      <c r="BD587" s="1831"/>
      <c r="BE587" s="1831"/>
      <c r="BF587" s="1831"/>
      <c r="BG587" s="1644"/>
    </row>
    <row customHeight="1" ht="11.25">
      <c r="A588" s="1175" t="s">
        <v>1036</v>
      </c>
      <c r="B588" s="1175" t="s">
        <v>1165</v>
      </c>
      <c r="C588" s="1175"/>
      <c r="D588" s="1169"/>
      <c r="E588" s="1179"/>
      <c r="F588" s="1837"/>
      <c r="G588" s="692" t="s">
        <v>104</v>
      </c>
      <c r="H588" s="2543" t="s">
        <v>1314</v>
      </c>
      <c r="I588" s="2544" t="s">
        <v>1167</v>
      </c>
      <c r="J588" s="2513" t="s">
        <v>1173</v>
      </c>
      <c r="K588" s="2545" t="s">
        <v>1315</v>
      </c>
      <c r="L588" s="2135" t="s">
        <v>19</v>
      </c>
      <c r="M588" s="2136"/>
      <c r="N588" s="1992"/>
      <c r="O588" s="1186" t="s">
        <v>391</v>
      </c>
      <c r="P588" s="1187"/>
      <c r="Q588" s="1187"/>
      <c r="R588" s="1187"/>
      <c r="S588" s="1187"/>
      <c r="T588" s="1187"/>
      <c r="U588" s="1187"/>
      <c r="V588" s="1187"/>
      <c r="W588" s="1187"/>
      <c r="X588" s="1187"/>
      <c r="Y588" s="1187"/>
      <c r="Z588" s="1187"/>
      <c r="AA588" s="1187"/>
      <c r="AB588" s="1187"/>
      <c r="AC588" s="1187"/>
      <c r="AD588" s="1187"/>
      <c r="AE588" s="1187"/>
      <c r="AF588" s="2534">
        <v>1</v>
      </c>
      <c r="AG588" s="2535" t="s">
        <v>1095</v>
      </c>
      <c r="AH588" s="2535" t="s">
        <v>1085</v>
      </c>
      <c r="AI588" s="2534">
        <v>1</v>
      </c>
      <c r="AJ588" s="2535" t="s">
        <v>1095</v>
      </c>
      <c r="AK588" s="2535" t="s">
        <v>1085</v>
      </c>
      <c r="AL588" s="1994"/>
      <c r="AM588" s="1831"/>
      <c r="AN588" s="1831"/>
      <c r="AO588" s="1831"/>
      <c r="AP588" s="1831"/>
      <c r="AQ588" s="1831"/>
      <c r="AR588" s="1831"/>
      <c r="AS588" s="1831"/>
      <c r="AT588" s="1831"/>
      <c r="AU588" s="1831"/>
      <c r="AV588" s="1831"/>
      <c r="AW588" s="1831"/>
      <c r="AX588" s="1831"/>
      <c r="AY588" s="1831"/>
      <c r="AZ588" s="1831"/>
      <c r="BA588" s="1831"/>
      <c r="BB588" s="1831"/>
      <c r="BC588" s="1831"/>
      <c r="BD588" s="1831"/>
      <c r="BE588" s="1831"/>
      <c r="BF588" s="1831"/>
      <c r="BG588" s="1644"/>
    </row>
    <row customHeight="1" ht="11.25">
      <c r="A589" s="1175" t="s">
        <v>1036</v>
      </c>
      <c r="B589" s="1175"/>
      <c r="C589" s="1175"/>
      <c r="D589" s="1169"/>
      <c r="E589" s="1179"/>
      <c r="F589" s="1837"/>
      <c r="G589" s="1838"/>
      <c r="H589" s="2543" t="s">
        <v>1312</v>
      </c>
      <c r="I589" s="2544"/>
      <c r="J589" s="2513"/>
      <c r="K589" s="2545"/>
      <c r="L589" s="2135"/>
      <c r="M589" s="2136"/>
      <c r="N589" s="2536"/>
      <c r="O589" s="2537">
        <v>1</v>
      </c>
      <c r="P589" s="2538" t="s">
        <v>63</v>
      </c>
      <c r="Q589" s="2911" t="s">
        <v>1096</v>
      </c>
      <c r="R589" s="2912" t="s">
        <v>1097</v>
      </c>
      <c r="S589" s="2912" t="s">
        <v>106</v>
      </c>
      <c r="T589" s="2912" t="s">
        <v>106</v>
      </c>
      <c r="U589" s="2912" t="s">
        <v>107</v>
      </c>
      <c r="V589" s="2912" t="s">
        <v>1077</v>
      </c>
      <c r="W589" s="2912" t="s">
        <v>1078</v>
      </c>
      <c r="X589" s="2912" t="s">
        <v>1098</v>
      </c>
      <c r="Y589" s="2912" t="s">
        <v>1099</v>
      </c>
      <c r="Z589" s="1184"/>
      <c r="AA589" s="1185"/>
      <c r="AB589" s="1185"/>
      <c r="AC589" s="1189"/>
      <c r="AD589" s="1189"/>
      <c r="AE589" s="1190"/>
      <c r="AF589" s="2534"/>
      <c r="AG589" s="2535"/>
      <c r="AH589" s="2535"/>
      <c r="AI589" s="2534"/>
      <c r="AJ589" s="2535"/>
      <c r="AK589" s="2535"/>
      <c r="AL589" s="1994"/>
      <c r="AM589" s="1831"/>
      <c r="AN589" s="1831"/>
      <c r="AO589" s="1831"/>
      <c r="AP589" s="1831"/>
      <c r="AQ589" s="1831"/>
      <c r="AR589" s="1831"/>
      <c r="AS589" s="1831"/>
      <c r="AT589" s="1831"/>
      <c r="AU589" s="1831"/>
      <c r="AV589" s="1831"/>
      <c r="AW589" s="1831"/>
      <c r="AX589" s="1831"/>
      <c r="AY589" s="1831"/>
      <c r="AZ589" s="1831"/>
      <c r="BA589" s="1831"/>
      <c r="BB589" s="1831"/>
      <c r="BC589" s="1831"/>
      <c r="BD589" s="1831"/>
      <c r="BE589" s="1831"/>
      <c r="BF589" s="1831"/>
      <c r="BG589" s="1644"/>
    </row>
    <row customHeight="1" ht="11.25">
      <c r="A590" s="1175" t="s">
        <v>1036</v>
      </c>
      <c r="B590" s="1175"/>
      <c r="C590" s="1175"/>
      <c r="D590" s="1169"/>
      <c r="E590" s="1179"/>
      <c r="F590" s="1837"/>
      <c r="G590" s="1838"/>
      <c r="H590" s="2543" t="s">
        <v>1312</v>
      </c>
      <c r="I590" s="2544"/>
      <c r="J590" s="2513"/>
      <c r="K590" s="2545"/>
      <c r="L590" s="2135"/>
      <c r="M590" s="2136"/>
      <c r="N590" s="2536"/>
      <c r="O590" s="2537"/>
      <c r="P590" s="2539"/>
      <c r="Q590" s="2911"/>
      <c r="R590" s="2541"/>
      <c r="S590" s="2542"/>
      <c r="T590" s="2541"/>
      <c r="U590" s="2541"/>
      <c r="V590" s="2541"/>
      <c r="W590" s="2541"/>
      <c r="X590" s="2541"/>
      <c r="Y590" s="2541"/>
      <c r="Z590" s="1836"/>
      <c r="AA590" s="1802">
        <v>1</v>
      </c>
      <c r="AB590" s="1188" t="s">
        <v>1091</v>
      </c>
      <c r="AC590" s="1178">
        <v>0</v>
      </c>
      <c r="AD590" s="1188" t="str">
        <f>AB590</f>
        <v>  Прочие собственные средства</v>
      </c>
      <c r="AE590" s="1178">
        <v>3570.2</v>
      </c>
      <c r="AF590" s="2534"/>
      <c r="AG590" s="2535"/>
      <c r="AH590" s="2535"/>
      <c r="AI590" s="2534"/>
      <c r="AJ590" s="2535"/>
      <c r="AK590" s="2535"/>
      <c r="AL590" s="1994"/>
      <c r="AM590" s="1831"/>
      <c r="AN590" s="1831"/>
      <c r="AO590" s="1831"/>
      <c r="AP590" s="1831"/>
      <c r="AQ590" s="1831"/>
      <c r="AR590" s="1831"/>
      <c r="AS590" s="1831"/>
      <c r="AT590" s="1831"/>
      <c r="AU590" s="1831"/>
      <c r="AV590" s="1831"/>
      <c r="AW590" s="1831"/>
      <c r="AX590" s="1831"/>
      <c r="AY590" s="1831"/>
      <c r="AZ590" s="1831"/>
      <c r="BA590" s="1831"/>
      <c r="BB590" s="1831"/>
      <c r="BC590" s="1831"/>
      <c r="BD590" s="1831"/>
      <c r="BE590" s="1831"/>
      <c r="BF590" s="1831"/>
      <c r="BG590" s="1644"/>
    </row>
    <row customHeight="1" ht="11.25">
      <c r="A591" s="1175" t="s">
        <v>1036</v>
      </c>
      <c r="B591" s="1175"/>
      <c r="C591" s="1175"/>
      <c r="D591" s="1169"/>
      <c r="E591" s="1179"/>
      <c r="F591" s="1837"/>
      <c r="G591" s="1838"/>
      <c r="H591" s="2543" t="s">
        <v>1312</v>
      </c>
      <c r="I591" s="2544"/>
      <c r="J591" s="2513"/>
      <c r="K591" s="2545"/>
      <c r="L591" s="2135"/>
      <c r="M591" s="2136"/>
      <c r="N591" s="2536"/>
      <c r="O591" s="2537"/>
      <c r="P591" s="2540"/>
      <c r="Q591" s="2911"/>
      <c r="R591" s="2541"/>
      <c r="S591" s="2542"/>
      <c r="T591" s="2541"/>
      <c r="U591" s="2541"/>
      <c r="V591" s="2541"/>
      <c r="W591" s="2541"/>
      <c r="X591" s="2541"/>
      <c r="Y591" s="2541"/>
      <c r="Z591" s="1184"/>
      <c r="AA591" s="1185"/>
      <c r="AB591" s="1250" t="s">
        <v>1082</v>
      </c>
      <c r="AC591" s="1189"/>
      <c r="AD591" s="1189"/>
      <c r="AE591" s="1191"/>
      <c r="AF591" s="2534"/>
      <c r="AG591" s="2535"/>
      <c r="AH591" s="2535"/>
      <c r="AI591" s="2534"/>
      <c r="AJ591" s="2535"/>
      <c r="AK591" s="2535"/>
      <c r="AL591" s="1994"/>
      <c r="AM591" s="1831"/>
      <c r="AN591" s="1831"/>
      <c r="AO591" s="1831"/>
      <c r="AP591" s="1831"/>
      <c r="AQ591" s="1831"/>
      <c r="AR591" s="1831"/>
      <c r="AS591" s="1831"/>
      <c r="AT591" s="1831"/>
      <c r="AU591" s="1831"/>
      <c r="AV591" s="1831"/>
      <c r="AW591" s="1831"/>
      <c r="AX591" s="1831"/>
      <c r="AY591" s="1831"/>
      <c r="AZ591" s="1831"/>
      <c r="BA591" s="1831"/>
      <c r="BB591" s="1831"/>
      <c r="BC591" s="1831"/>
      <c r="BD591" s="1831"/>
      <c r="BE591" s="1831"/>
      <c r="BF591" s="1831"/>
      <c r="BG591" s="1644"/>
    </row>
    <row customHeight="1" ht="11.25">
      <c r="A592" s="1175" t="s">
        <v>1036</v>
      </c>
      <c r="B592" s="1175"/>
      <c r="C592" s="1175"/>
      <c r="D592" s="1169"/>
      <c r="E592" s="1179"/>
      <c r="F592" s="1837"/>
      <c r="G592" s="1838"/>
      <c r="H592" s="2543" t="s">
        <v>1312</v>
      </c>
      <c r="I592" s="2544"/>
      <c r="J592" s="2513"/>
      <c r="K592" s="2545"/>
      <c r="L592" s="2135"/>
      <c r="M592" s="2136"/>
      <c r="N592" s="1184"/>
      <c r="O592" s="1185"/>
      <c r="P592" s="1177" t="s">
        <v>1083</v>
      </c>
      <c r="Q592" s="1185"/>
      <c r="R592" s="1185"/>
      <c r="S592" s="1185"/>
      <c r="T592" s="1185"/>
      <c r="U592" s="1185"/>
      <c r="V592" s="1185"/>
      <c r="W592" s="1185"/>
      <c r="X592" s="1185"/>
      <c r="Y592" s="1185"/>
      <c r="Z592" s="1185"/>
      <c r="AA592" s="1185"/>
      <c r="AB592" s="1185"/>
      <c r="AC592" s="1185"/>
      <c r="AD592" s="1185"/>
      <c r="AE592" s="1192"/>
      <c r="AF592" s="2534"/>
      <c r="AG592" s="2535"/>
      <c r="AH592" s="2535"/>
      <c r="AI592" s="2534"/>
      <c r="AJ592" s="2535"/>
      <c r="AK592" s="2535"/>
      <c r="AL592" s="1994"/>
      <c r="AM592" s="1831"/>
      <c r="AN592" s="1831"/>
      <c r="AO592" s="1831"/>
      <c r="AP592" s="1831"/>
      <c r="AQ592" s="1831"/>
      <c r="AR592" s="1831"/>
      <c r="AS592" s="1831"/>
      <c r="AT592" s="1831"/>
      <c r="AU592" s="1831"/>
      <c r="AV592" s="1831"/>
      <c r="AW592" s="1831"/>
      <c r="AX592" s="1831"/>
      <c r="AY592" s="1831"/>
      <c r="AZ592" s="1831"/>
      <c r="BA592" s="1831"/>
      <c r="BB592" s="1831"/>
      <c r="BC592" s="1831"/>
      <c r="BD592" s="1831"/>
      <c r="BE592" s="1831"/>
      <c r="BF592" s="1831"/>
      <c r="BG592" s="1644"/>
    </row>
    <row customHeight="1" ht="11.25">
      <c r="A593" s="1175" t="s">
        <v>1036</v>
      </c>
      <c r="B593" s="1175" t="s">
        <v>1165</v>
      </c>
      <c r="C593" s="1175"/>
      <c r="D593" s="1169"/>
      <c r="E593" s="1179"/>
      <c r="F593" s="1837"/>
      <c r="G593" s="692" t="s">
        <v>104</v>
      </c>
      <c r="H593" s="2543" t="s">
        <v>1316</v>
      </c>
      <c r="I593" s="2544" t="s">
        <v>1167</v>
      </c>
      <c r="J593" s="2513" t="s">
        <v>1173</v>
      </c>
      <c r="K593" s="2545" t="s">
        <v>1317</v>
      </c>
      <c r="L593" s="2135" t="s">
        <v>19</v>
      </c>
      <c r="M593" s="2136"/>
      <c r="N593" s="1992"/>
      <c r="O593" s="1186" t="s">
        <v>391</v>
      </c>
      <c r="P593" s="1187"/>
      <c r="Q593" s="1187"/>
      <c r="R593" s="1187"/>
      <c r="S593" s="1187"/>
      <c r="T593" s="1187"/>
      <c r="U593" s="1187"/>
      <c r="V593" s="1187"/>
      <c r="W593" s="1187"/>
      <c r="X593" s="1187"/>
      <c r="Y593" s="1187"/>
      <c r="Z593" s="1187"/>
      <c r="AA593" s="1187"/>
      <c r="AB593" s="1187"/>
      <c r="AC593" s="1187"/>
      <c r="AD593" s="1187"/>
      <c r="AE593" s="1187"/>
      <c r="AF593" s="2534">
        <v>3</v>
      </c>
      <c r="AG593" s="2535" t="s">
        <v>1094</v>
      </c>
      <c r="AH593" s="2535" t="s">
        <v>1105</v>
      </c>
      <c r="AI593" s="2905"/>
      <c r="AJ593" s="2535" t="s">
        <v>1074</v>
      </c>
      <c r="AK593" s="2535" t="s">
        <v>1074</v>
      </c>
      <c r="AL593" s="1994"/>
      <c r="AM593" s="1831"/>
      <c r="AN593" s="1831"/>
      <c r="AO593" s="1831"/>
      <c r="AP593" s="1831"/>
      <c r="AQ593" s="1831"/>
      <c r="AR593" s="1831"/>
      <c r="AS593" s="1831"/>
      <c r="AT593" s="1831"/>
      <c r="AU593" s="1831"/>
      <c r="AV593" s="1831"/>
      <c r="AW593" s="1831"/>
      <c r="AX593" s="1831"/>
      <c r="AY593" s="1831"/>
      <c r="AZ593" s="1831"/>
      <c r="BA593" s="1831"/>
      <c r="BB593" s="1831"/>
      <c r="BC593" s="1831"/>
      <c r="BD593" s="1831"/>
      <c r="BE593" s="1831"/>
      <c r="BF593" s="1831"/>
      <c r="BG593" s="1644"/>
    </row>
    <row customHeight="1" ht="11.25">
      <c r="A594" s="1175" t="s">
        <v>1036</v>
      </c>
      <c r="B594" s="1175"/>
      <c r="C594" s="1175"/>
      <c r="D594" s="1169"/>
      <c r="E594" s="1179"/>
      <c r="F594" s="1837"/>
      <c r="G594" s="1838"/>
      <c r="H594" s="2543" t="s">
        <v>1314</v>
      </c>
      <c r="I594" s="2544"/>
      <c r="J594" s="2513"/>
      <c r="K594" s="2545"/>
      <c r="L594" s="2135"/>
      <c r="M594" s="2136"/>
      <c r="N594" s="2536"/>
      <c r="O594" s="2537">
        <v>1</v>
      </c>
      <c r="P594" s="2538" t="s">
        <v>63</v>
      </c>
      <c r="Q594" s="2911" t="s">
        <v>1075</v>
      </c>
      <c r="R594" s="2912" t="s">
        <v>1076</v>
      </c>
      <c r="S594" s="2912" t="s">
        <v>106</v>
      </c>
      <c r="T594" s="2912" t="s">
        <v>106</v>
      </c>
      <c r="U594" s="2912" t="s">
        <v>107</v>
      </c>
      <c r="V594" s="2912" t="s">
        <v>1077</v>
      </c>
      <c r="W594" s="2912" t="s">
        <v>1078</v>
      </c>
      <c r="X594" s="2912" t="s">
        <v>1079</v>
      </c>
      <c r="Y594" s="2912" t="s">
        <v>1080</v>
      </c>
      <c r="Z594" s="1184"/>
      <c r="AA594" s="1185"/>
      <c r="AB594" s="1185"/>
      <c r="AC594" s="1189"/>
      <c r="AD594" s="1189"/>
      <c r="AE594" s="1190"/>
      <c r="AF594" s="2534"/>
      <c r="AG594" s="2535"/>
      <c r="AH594" s="2535"/>
      <c r="AI594" s="2905"/>
      <c r="AJ594" s="2535"/>
      <c r="AK594" s="2535"/>
      <c r="AL594" s="1994"/>
      <c r="AM594" s="1831"/>
      <c r="AN594" s="1831"/>
      <c r="AO594" s="1831"/>
      <c r="AP594" s="1831"/>
      <c r="AQ594" s="1831"/>
      <c r="AR594" s="1831"/>
      <c r="AS594" s="1831"/>
      <c r="AT594" s="1831"/>
      <c r="AU594" s="1831"/>
      <c r="AV594" s="1831"/>
      <c r="AW594" s="1831"/>
      <c r="AX594" s="1831"/>
      <c r="AY594" s="1831"/>
      <c r="AZ594" s="1831"/>
      <c r="BA594" s="1831"/>
      <c r="BB594" s="1831"/>
      <c r="BC594" s="1831"/>
      <c r="BD594" s="1831"/>
      <c r="BE594" s="1831"/>
      <c r="BF594" s="1831"/>
      <c r="BG594" s="1644"/>
    </row>
    <row customHeight="1" ht="11.25">
      <c r="A595" s="1175" t="s">
        <v>1036</v>
      </c>
      <c r="B595" s="1175"/>
      <c r="C595" s="1175"/>
      <c r="D595" s="1169"/>
      <c r="E595" s="1179"/>
      <c r="F595" s="1837"/>
      <c r="G595" s="1838"/>
      <c r="H595" s="2543" t="s">
        <v>1314</v>
      </c>
      <c r="I595" s="2544"/>
      <c r="J595" s="2513"/>
      <c r="K595" s="2545"/>
      <c r="L595" s="2135"/>
      <c r="M595" s="2136"/>
      <c r="N595" s="2536"/>
      <c r="O595" s="2537"/>
      <c r="P595" s="2539"/>
      <c r="Q595" s="2911"/>
      <c r="R595" s="2541"/>
      <c r="S595" s="2542"/>
      <c r="T595" s="2541"/>
      <c r="U595" s="2541"/>
      <c r="V595" s="2541"/>
      <c r="W595" s="2541"/>
      <c r="X595" s="2541"/>
      <c r="Y595" s="2541"/>
      <c r="Z595" s="1836"/>
      <c r="AA595" s="1802">
        <v>1</v>
      </c>
      <c r="AB595" s="1188" t="s">
        <v>1164</v>
      </c>
      <c r="AC595" s="1178">
        <v>0</v>
      </c>
      <c r="AD595" s="1188" t="str">
        <f>AB595</f>
        <v>  За счет платы за технологическое присоединение</v>
      </c>
      <c r="AE595" s="1178">
        <v>666.51</v>
      </c>
      <c r="AF595" s="2534"/>
      <c r="AG595" s="2535"/>
      <c r="AH595" s="2535"/>
      <c r="AI595" s="2905"/>
      <c r="AJ595" s="2535"/>
      <c r="AK595" s="2535"/>
      <c r="AL595" s="1994"/>
      <c r="AM595" s="1831"/>
      <c r="AN595" s="1831"/>
      <c r="AO595" s="1831"/>
      <c r="AP595" s="1831"/>
      <c r="AQ595" s="1831"/>
      <c r="AR595" s="1831"/>
      <c r="AS595" s="1831"/>
      <c r="AT595" s="1831"/>
      <c r="AU595" s="1831"/>
      <c r="AV595" s="1831"/>
      <c r="AW595" s="1831"/>
      <c r="AX595" s="1831"/>
      <c r="AY595" s="1831"/>
      <c r="AZ595" s="1831"/>
      <c r="BA595" s="1831"/>
      <c r="BB595" s="1831"/>
      <c r="BC595" s="1831"/>
      <c r="BD595" s="1831"/>
      <c r="BE595" s="1831"/>
      <c r="BF595" s="1831"/>
      <c r="BG595" s="1644"/>
    </row>
    <row customHeight="1" ht="11.25">
      <c r="A596" s="1175" t="s">
        <v>1036</v>
      </c>
      <c r="B596" s="1175"/>
      <c r="C596" s="1175"/>
      <c r="D596" s="1169"/>
      <c r="E596" s="1179"/>
      <c r="F596" s="1837"/>
      <c r="G596" s="1838"/>
      <c r="H596" s="2543" t="s">
        <v>1314</v>
      </c>
      <c r="I596" s="2544"/>
      <c r="J596" s="2513"/>
      <c r="K596" s="2545"/>
      <c r="L596" s="2135"/>
      <c r="M596" s="2136"/>
      <c r="N596" s="2536"/>
      <c r="O596" s="2537"/>
      <c r="P596" s="2540"/>
      <c r="Q596" s="2911"/>
      <c r="R596" s="2541"/>
      <c r="S596" s="2542"/>
      <c r="T596" s="2541"/>
      <c r="U596" s="2541"/>
      <c r="V596" s="2541"/>
      <c r="W596" s="2541"/>
      <c r="X596" s="2541"/>
      <c r="Y596" s="2541"/>
      <c r="Z596" s="1184"/>
      <c r="AA596" s="1185"/>
      <c r="AB596" s="1250" t="s">
        <v>1082</v>
      </c>
      <c r="AC596" s="1189"/>
      <c r="AD596" s="1189"/>
      <c r="AE596" s="1191"/>
      <c r="AF596" s="2534"/>
      <c r="AG596" s="2535"/>
      <c r="AH596" s="2535"/>
      <c r="AI596" s="2905"/>
      <c r="AJ596" s="2535"/>
      <c r="AK596" s="2535"/>
      <c r="AL596" s="1994"/>
      <c r="AM596" s="1831"/>
      <c r="AN596" s="1831"/>
      <c r="AO596" s="1831"/>
      <c r="AP596" s="1831"/>
      <c r="AQ596" s="1831"/>
      <c r="AR596" s="1831"/>
      <c r="AS596" s="1831"/>
      <c r="AT596" s="1831"/>
      <c r="AU596" s="1831"/>
      <c r="AV596" s="1831"/>
      <c r="AW596" s="1831"/>
      <c r="AX596" s="1831"/>
      <c r="AY596" s="1831"/>
      <c r="AZ596" s="1831"/>
      <c r="BA596" s="1831"/>
      <c r="BB596" s="1831"/>
      <c r="BC596" s="1831"/>
      <c r="BD596" s="1831"/>
      <c r="BE596" s="1831"/>
      <c r="BF596" s="1831"/>
      <c r="BG596" s="1644"/>
    </row>
    <row customHeight="1" ht="11.25">
      <c r="A597" s="1175" t="s">
        <v>1036</v>
      </c>
      <c r="B597" s="1175"/>
      <c r="C597" s="1175"/>
      <c r="D597" s="1169"/>
      <c r="E597" s="1179"/>
      <c r="F597" s="1837"/>
      <c r="G597" s="1838"/>
      <c r="H597" s="2543" t="s">
        <v>1314</v>
      </c>
      <c r="I597" s="2544"/>
      <c r="J597" s="2513"/>
      <c r="K597" s="2545"/>
      <c r="L597" s="2135"/>
      <c r="M597" s="2136"/>
      <c r="N597" s="1184"/>
      <c r="O597" s="1185"/>
      <c r="P597" s="1177" t="s">
        <v>1083</v>
      </c>
      <c r="Q597" s="1185"/>
      <c r="R597" s="1185"/>
      <c r="S597" s="1185"/>
      <c r="T597" s="1185"/>
      <c r="U597" s="1185"/>
      <c r="V597" s="1185"/>
      <c r="W597" s="1185"/>
      <c r="X597" s="1185"/>
      <c r="Y597" s="1185"/>
      <c r="Z597" s="1185"/>
      <c r="AA597" s="1185"/>
      <c r="AB597" s="1185"/>
      <c r="AC597" s="1185"/>
      <c r="AD597" s="1185"/>
      <c r="AE597" s="1192"/>
      <c r="AF597" s="2534"/>
      <c r="AG597" s="2535"/>
      <c r="AH597" s="2535"/>
      <c r="AI597" s="2905"/>
      <c r="AJ597" s="2535"/>
      <c r="AK597" s="2535"/>
      <c r="AL597" s="1994"/>
      <c r="AM597" s="1831"/>
      <c r="AN597" s="1831"/>
      <c r="AO597" s="1831"/>
      <c r="AP597" s="1831"/>
      <c r="AQ597" s="1831"/>
      <c r="AR597" s="1831"/>
      <c r="AS597" s="1831"/>
      <c r="AT597" s="1831"/>
      <c r="AU597" s="1831"/>
      <c r="AV597" s="1831"/>
      <c r="AW597" s="1831"/>
      <c r="AX597" s="1831"/>
      <c r="AY597" s="1831"/>
      <c r="AZ597" s="1831"/>
      <c r="BA597" s="1831"/>
      <c r="BB597" s="1831"/>
      <c r="BC597" s="1831"/>
      <c r="BD597" s="1831"/>
      <c r="BE597" s="1831"/>
      <c r="BF597" s="1831"/>
      <c r="BG597" s="1644"/>
    </row>
    <row customHeight="1" ht="11.25">
      <c r="A598" s="1175" t="s">
        <v>1036</v>
      </c>
      <c r="B598" s="1175" t="s">
        <v>1165</v>
      </c>
      <c r="C598" s="1175"/>
      <c r="D598" s="1169"/>
      <c r="E598" s="1179"/>
      <c r="F598" s="1837"/>
      <c r="G598" s="692" t="s">
        <v>104</v>
      </c>
      <c r="H598" s="2543" t="s">
        <v>1318</v>
      </c>
      <c r="I598" s="2544" t="s">
        <v>1167</v>
      </c>
      <c r="J598" s="2513" t="s">
        <v>1173</v>
      </c>
      <c r="K598" s="2545" t="s">
        <v>1319</v>
      </c>
      <c r="L598" s="2135" t="s">
        <v>19</v>
      </c>
      <c r="M598" s="2136"/>
      <c r="N598" s="1992"/>
      <c r="O598" s="1186" t="s">
        <v>391</v>
      </c>
      <c r="P598" s="1187"/>
      <c r="Q598" s="1187"/>
      <c r="R598" s="1187"/>
      <c r="S598" s="1187"/>
      <c r="T598" s="1187"/>
      <c r="U598" s="1187"/>
      <c r="V598" s="1187"/>
      <c r="W598" s="1187"/>
      <c r="X598" s="1187"/>
      <c r="Y598" s="1187"/>
      <c r="Z598" s="1187"/>
      <c r="AA598" s="1187"/>
      <c r="AB598" s="1187"/>
      <c r="AC598" s="1187"/>
      <c r="AD598" s="1187"/>
      <c r="AE598" s="1187"/>
      <c r="AF598" s="2534">
        <v>1</v>
      </c>
      <c r="AG598" s="2535" t="s">
        <v>1072</v>
      </c>
      <c r="AH598" s="2535" t="s">
        <v>1085</v>
      </c>
      <c r="AI598" s="2534">
        <v>1</v>
      </c>
      <c r="AJ598" s="2535" t="s">
        <v>1072</v>
      </c>
      <c r="AK598" s="2535" t="s">
        <v>1085</v>
      </c>
      <c r="AL598" s="1994"/>
      <c r="AM598" s="1831"/>
      <c r="AN598" s="1831"/>
      <c r="AO598" s="1831"/>
      <c r="AP598" s="1831"/>
      <c r="AQ598" s="1831"/>
      <c r="AR598" s="1831"/>
      <c r="AS598" s="1831"/>
      <c r="AT598" s="1831"/>
      <c r="AU598" s="1831"/>
      <c r="AV598" s="1831"/>
      <c r="AW598" s="1831"/>
      <c r="AX598" s="1831"/>
      <c r="AY598" s="1831"/>
      <c r="AZ598" s="1831"/>
      <c r="BA598" s="1831"/>
      <c r="BB598" s="1831"/>
      <c r="BC598" s="1831"/>
      <c r="BD598" s="1831"/>
      <c r="BE598" s="1831"/>
      <c r="BF598" s="1831"/>
      <c r="BG598" s="1644"/>
    </row>
    <row customHeight="1" ht="11.25">
      <c r="A599" s="1175" t="s">
        <v>1036</v>
      </c>
      <c r="B599" s="1175"/>
      <c r="C599" s="1175"/>
      <c r="D599" s="1169"/>
      <c r="E599" s="1179"/>
      <c r="F599" s="1837"/>
      <c r="G599" s="1838"/>
      <c r="H599" s="2543" t="s">
        <v>1316</v>
      </c>
      <c r="I599" s="2544"/>
      <c r="J599" s="2513"/>
      <c r="K599" s="2545"/>
      <c r="L599" s="2135"/>
      <c r="M599" s="2136"/>
      <c r="N599" s="2536"/>
      <c r="O599" s="2537">
        <v>1</v>
      </c>
      <c r="P599" s="2538" t="s">
        <v>63</v>
      </c>
      <c r="Q599" s="2911" t="s">
        <v>1106</v>
      </c>
      <c r="R599" s="2912" t="s">
        <v>1076</v>
      </c>
      <c r="S599" s="2912" t="s">
        <v>100</v>
      </c>
      <c r="T599" s="2912" t="s">
        <v>100</v>
      </c>
      <c r="U599" s="2912" t="s">
        <v>101</v>
      </c>
      <c r="V599" s="2912" t="s">
        <v>1107</v>
      </c>
      <c r="W599" s="2912" t="s">
        <v>1108</v>
      </c>
      <c r="X599" s="2912" t="s">
        <v>1109</v>
      </c>
      <c r="Y599" s="2912" t="s">
        <v>1110</v>
      </c>
      <c r="Z599" s="1184"/>
      <c r="AA599" s="1185"/>
      <c r="AB599" s="1185"/>
      <c r="AC599" s="1189"/>
      <c r="AD599" s="1189"/>
      <c r="AE599" s="1190"/>
      <c r="AF599" s="2534"/>
      <c r="AG599" s="2535"/>
      <c r="AH599" s="2535"/>
      <c r="AI599" s="2534"/>
      <c r="AJ599" s="2535"/>
      <c r="AK599" s="2535"/>
      <c r="AL599" s="1994"/>
      <c r="AM599" s="1831"/>
      <c r="AN599" s="1831"/>
      <c r="AO599" s="1831"/>
      <c r="AP599" s="1831"/>
      <c r="AQ599" s="1831"/>
      <c r="AR599" s="1831"/>
      <c r="AS599" s="1831"/>
      <c r="AT599" s="1831"/>
      <c r="AU599" s="1831"/>
      <c r="AV599" s="1831"/>
      <c r="AW599" s="1831"/>
      <c r="AX599" s="1831"/>
      <c r="AY599" s="1831"/>
      <c r="AZ599" s="1831"/>
      <c r="BA599" s="1831"/>
      <c r="BB599" s="1831"/>
      <c r="BC599" s="1831"/>
      <c r="BD599" s="1831"/>
      <c r="BE599" s="1831"/>
      <c r="BF599" s="1831"/>
      <c r="BG599" s="1644"/>
    </row>
    <row customHeight="1" ht="11.25">
      <c r="A600" s="1175" t="s">
        <v>1036</v>
      </c>
      <c r="B600" s="1175"/>
      <c r="C600" s="1175"/>
      <c r="D600" s="1169"/>
      <c r="E600" s="1179"/>
      <c r="F600" s="1837"/>
      <c r="G600" s="1838"/>
      <c r="H600" s="2543" t="s">
        <v>1316</v>
      </c>
      <c r="I600" s="2544"/>
      <c r="J600" s="2513"/>
      <c r="K600" s="2545"/>
      <c r="L600" s="2135"/>
      <c r="M600" s="2136"/>
      <c r="N600" s="2536"/>
      <c r="O600" s="2537"/>
      <c r="P600" s="2539"/>
      <c r="Q600" s="2911"/>
      <c r="R600" s="2541"/>
      <c r="S600" s="2542"/>
      <c r="T600" s="2541"/>
      <c r="U600" s="2541"/>
      <c r="V600" s="2541"/>
      <c r="W600" s="2541"/>
      <c r="X600" s="2541"/>
      <c r="Y600" s="2541"/>
      <c r="Z600" s="1836"/>
      <c r="AA600" s="1802">
        <v>1</v>
      </c>
      <c r="AB600" s="1188" t="s">
        <v>1164</v>
      </c>
      <c r="AC600" s="1178">
        <v>0</v>
      </c>
      <c r="AD600" s="1188" t="str">
        <f>AB600</f>
        <v>  За счет платы за технологическое присоединение</v>
      </c>
      <c r="AE600" s="1178">
        <v>353.65</v>
      </c>
      <c r="AF600" s="2534"/>
      <c r="AG600" s="2535"/>
      <c r="AH600" s="2535"/>
      <c r="AI600" s="2534"/>
      <c r="AJ600" s="2535"/>
      <c r="AK600" s="2535"/>
      <c r="AL600" s="1994"/>
      <c r="AM600" s="1831"/>
      <c r="AN600" s="1831"/>
      <c r="AO600" s="1831"/>
      <c r="AP600" s="1831"/>
      <c r="AQ600" s="1831"/>
      <c r="AR600" s="1831"/>
      <c r="AS600" s="1831"/>
      <c r="AT600" s="1831"/>
      <c r="AU600" s="1831"/>
      <c r="AV600" s="1831"/>
      <c r="AW600" s="1831"/>
      <c r="AX600" s="1831"/>
      <c r="AY600" s="1831"/>
      <c r="AZ600" s="1831"/>
      <c r="BA600" s="1831"/>
      <c r="BB600" s="1831"/>
      <c r="BC600" s="1831"/>
      <c r="BD600" s="1831"/>
      <c r="BE600" s="1831"/>
      <c r="BF600" s="1831"/>
      <c r="BG600" s="1644"/>
    </row>
    <row customHeight="1" ht="11.25">
      <c r="A601" s="1175" t="s">
        <v>1036</v>
      </c>
      <c r="B601" s="1175"/>
      <c r="C601" s="1175"/>
      <c r="D601" s="1169"/>
      <c r="E601" s="1179"/>
      <c r="F601" s="1838"/>
      <c r="G601" s="1838"/>
      <c r="H601" s="1838"/>
      <c r="I601" s="1838"/>
      <c r="J601" s="2914"/>
      <c r="K601" s="1838"/>
      <c r="L601" s="1838"/>
      <c r="M601" s="1838"/>
      <c r="N601" s="1838"/>
      <c r="O601" s="1838"/>
      <c r="P601" s="1838"/>
      <c r="Q601" s="2914"/>
      <c r="R601" s="1838"/>
      <c r="S601" s="1838"/>
      <c r="T601" s="1838"/>
      <c r="U601" s="1838"/>
      <c r="V601" s="1838"/>
      <c r="W601" s="1838"/>
      <c r="X601" s="1838"/>
      <c r="Y601" s="1838"/>
      <c r="Z601" s="692" t="s">
        <v>104</v>
      </c>
      <c r="AA601" s="1822" t="s">
        <v>103</v>
      </c>
      <c r="AB601" s="1188" t="s">
        <v>1091</v>
      </c>
      <c r="AC601" s="1178">
        <v>0</v>
      </c>
      <c r="AD601" s="1188" t="str">
        <f>AB601</f>
        <v>  Прочие собственные средства</v>
      </c>
      <c r="AE601" s="1178">
        <v>491.68</v>
      </c>
      <c r="AF601" s="2095"/>
      <c r="AG601" s="1767"/>
      <c r="AH601" s="1767"/>
      <c r="AI601" s="2095"/>
      <c r="AJ601" s="1767"/>
      <c r="AK601" s="1993"/>
      <c r="AL601" s="1994"/>
      <c r="AM601" s="1831"/>
      <c r="AN601" s="1831"/>
      <c r="AO601" s="1831"/>
      <c r="AP601" s="1831"/>
      <c r="AQ601" s="1831"/>
      <c r="AR601" s="1831"/>
      <c r="AS601" s="1831"/>
      <c r="AT601" s="1831"/>
      <c r="AU601" s="1831"/>
      <c r="AV601" s="1831"/>
      <c r="AW601" s="1831"/>
      <c r="AX601" s="1831"/>
      <c r="AY601" s="1831"/>
      <c r="AZ601" s="1831"/>
      <c r="BA601" s="1831"/>
      <c r="BB601" s="1831"/>
      <c r="BC601" s="1831"/>
      <c r="BD601" s="1831"/>
      <c r="BE601" s="1831"/>
      <c r="BF601" s="1831"/>
      <c r="BG601" s="1644"/>
    </row>
    <row customHeight="1" ht="11.25">
      <c r="A602" s="1175" t="s">
        <v>1036</v>
      </c>
      <c r="B602" s="1175"/>
      <c r="C602" s="1175"/>
      <c r="D602" s="1169"/>
      <c r="E602" s="1179"/>
      <c r="F602" s="1837"/>
      <c r="G602" s="1838"/>
      <c r="H602" s="2543" t="s">
        <v>1316</v>
      </c>
      <c r="I602" s="2544"/>
      <c r="J602" s="2513"/>
      <c r="K602" s="2545"/>
      <c r="L602" s="2135"/>
      <c r="M602" s="2136"/>
      <c r="N602" s="2536"/>
      <c r="O602" s="2537"/>
      <c r="P602" s="2540"/>
      <c r="Q602" s="2911"/>
      <c r="R602" s="2541"/>
      <c r="S602" s="2542"/>
      <c r="T602" s="2541"/>
      <c r="U602" s="2541"/>
      <c r="V602" s="2541"/>
      <c r="W602" s="2541"/>
      <c r="X602" s="2541"/>
      <c r="Y602" s="2541"/>
      <c r="Z602" s="1184"/>
      <c r="AA602" s="1185"/>
      <c r="AB602" s="1250" t="s">
        <v>1082</v>
      </c>
      <c r="AC602" s="1189"/>
      <c r="AD602" s="1189"/>
      <c r="AE602" s="1191"/>
      <c r="AF602" s="2534"/>
      <c r="AG602" s="2535"/>
      <c r="AH602" s="2535"/>
      <c r="AI602" s="2534"/>
      <c r="AJ602" s="2535"/>
      <c r="AK602" s="2535"/>
      <c r="AL602" s="1994"/>
      <c r="AM602" s="1831"/>
      <c r="AN602" s="1831"/>
      <c r="AO602" s="1831"/>
      <c r="AP602" s="1831"/>
      <c r="AQ602" s="1831"/>
      <c r="AR602" s="1831"/>
      <c r="AS602" s="1831"/>
      <c r="AT602" s="1831"/>
      <c r="AU602" s="1831"/>
      <c r="AV602" s="1831"/>
      <c r="AW602" s="1831"/>
      <c r="AX602" s="1831"/>
      <c r="AY602" s="1831"/>
      <c r="AZ602" s="1831"/>
      <c r="BA602" s="1831"/>
      <c r="BB602" s="1831"/>
      <c r="BC602" s="1831"/>
      <c r="BD602" s="1831"/>
      <c r="BE602" s="1831"/>
      <c r="BF602" s="1831"/>
      <c r="BG602" s="1644"/>
    </row>
    <row customHeight="1" ht="11.25">
      <c r="A603" s="1175" t="s">
        <v>1036</v>
      </c>
      <c r="B603" s="1175"/>
      <c r="C603" s="1175"/>
      <c r="D603" s="1169"/>
      <c r="E603" s="1179"/>
      <c r="F603" s="1837"/>
      <c r="G603" s="1838"/>
      <c r="H603" s="2543" t="s">
        <v>1316</v>
      </c>
      <c r="I603" s="2544"/>
      <c r="J603" s="2513"/>
      <c r="K603" s="2545"/>
      <c r="L603" s="2135"/>
      <c r="M603" s="2136"/>
      <c r="N603" s="1184"/>
      <c r="O603" s="1185"/>
      <c r="P603" s="1177" t="s">
        <v>1083</v>
      </c>
      <c r="Q603" s="1185"/>
      <c r="R603" s="1185"/>
      <c r="S603" s="1185"/>
      <c r="T603" s="1185"/>
      <c r="U603" s="1185"/>
      <c r="V603" s="1185"/>
      <c r="W603" s="1185"/>
      <c r="X603" s="1185"/>
      <c r="Y603" s="1185"/>
      <c r="Z603" s="1185"/>
      <c r="AA603" s="1185"/>
      <c r="AB603" s="1185"/>
      <c r="AC603" s="1185"/>
      <c r="AD603" s="1185"/>
      <c r="AE603" s="1192"/>
      <c r="AF603" s="2534"/>
      <c r="AG603" s="2535"/>
      <c r="AH603" s="2535"/>
      <c r="AI603" s="2534"/>
      <c r="AJ603" s="2535"/>
      <c r="AK603" s="2535"/>
      <c r="AL603" s="1994"/>
      <c r="AM603" s="1831"/>
      <c r="AN603" s="1831"/>
      <c r="AO603" s="1831"/>
      <c r="AP603" s="1831"/>
      <c r="AQ603" s="1831"/>
      <c r="AR603" s="1831"/>
      <c r="AS603" s="1831"/>
      <c r="AT603" s="1831"/>
      <c r="AU603" s="1831"/>
      <c r="AV603" s="1831"/>
      <c r="AW603" s="1831"/>
      <c r="AX603" s="1831"/>
      <c r="AY603" s="1831"/>
      <c r="AZ603" s="1831"/>
      <c r="BA603" s="1831"/>
      <c r="BB603" s="1831"/>
      <c r="BC603" s="1831"/>
      <c r="BD603" s="1831"/>
      <c r="BE603" s="1831"/>
      <c r="BF603" s="1831"/>
      <c r="BG603" s="1644"/>
    </row>
    <row customHeight="1" ht="12">
      <c r="A604" s="1175" t="s">
        <v>1036</v>
      </c>
      <c r="B604" s="1175"/>
      <c r="C604" s="1175"/>
      <c r="D604" s="1169"/>
      <c r="E604" s="1179"/>
      <c r="F604" s="2565"/>
      <c r="G604" s="1199"/>
      <c r="H604" s="1199"/>
      <c r="I604" s="2563" t="s">
        <v>1320</v>
      </c>
      <c r="J604" s="2563"/>
      <c r="K604" s="2563"/>
      <c r="L604" s="1182"/>
      <c r="M604" s="1182"/>
      <c r="N604" s="1183"/>
      <c r="O604" s="1183"/>
      <c r="P604" s="1183"/>
      <c r="Q604" s="1183"/>
      <c r="R604" s="1183"/>
      <c r="S604" s="1183"/>
      <c r="T604" s="1183"/>
      <c r="U604" s="1183"/>
      <c r="V604" s="1183"/>
      <c r="W604" s="1183"/>
      <c r="X604" s="1183"/>
      <c r="Y604" s="1183"/>
      <c r="Z604" s="1183"/>
      <c r="AA604" s="1183"/>
      <c r="AB604" s="1183"/>
      <c r="AC604" s="1183"/>
      <c r="AD604" s="1183"/>
      <c r="AE604" s="1183"/>
      <c r="AF604" s="1183"/>
      <c r="AG604" s="1182"/>
      <c r="AH604" s="1182"/>
      <c r="AI604" s="1183"/>
      <c r="AJ604" s="1182"/>
      <c r="AK604" s="1183"/>
      <c r="AL604" s="1994"/>
      <c r="AM604" s="1831"/>
      <c r="AN604" s="1831"/>
      <c r="AO604" s="1831"/>
      <c r="AP604" s="1831"/>
      <c r="AQ604" s="1831"/>
      <c r="AR604" s="1831"/>
      <c r="AS604" s="1831"/>
      <c r="AT604" s="1831"/>
      <c r="AU604" s="1831"/>
      <c r="AV604" s="1831"/>
      <c r="AW604" s="1831"/>
      <c r="AX604" s="1831"/>
      <c r="AY604" s="1831"/>
      <c r="AZ604" s="1831"/>
      <c r="BA604" s="1831"/>
      <c r="BB604" s="1831"/>
      <c r="BC604" s="1831"/>
      <c r="BD604" s="1831"/>
      <c r="BE604" s="1831"/>
      <c r="BF604" s="1831"/>
      <c r="BG604" s="1644"/>
    </row>
    <row customHeight="1" ht="0.75">
      <c r="A605" s="1175" t="s">
        <v>1036</v>
      </c>
      <c r="B605" s="1175"/>
      <c r="C605" s="1175"/>
      <c r="D605" s="1169"/>
      <c r="E605" s="1179"/>
      <c r="F605" s="2564">
        <v>2026</v>
      </c>
      <c r="G605" s="2543"/>
      <c r="H605" s="2568" t="s">
        <v>391</v>
      </c>
      <c r="I605" s="2569"/>
      <c r="J605" s="2570"/>
      <c r="K605" s="2570"/>
      <c r="L605" s="2562"/>
      <c r="M605" s="2296"/>
      <c r="N605" s="2042"/>
      <c r="O605" s="2041"/>
      <c r="P605" s="2042"/>
      <c r="Q605" s="2042"/>
      <c r="R605" s="2042"/>
      <c r="S605" s="2042"/>
      <c r="T605" s="2042"/>
      <c r="U605" s="2042"/>
      <c r="V605" s="2042"/>
      <c r="W605" s="2042"/>
      <c r="X605" s="2042"/>
      <c r="Y605" s="2042"/>
      <c r="Z605" s="2042"/>
      <c r="AA605" s="2042"/>
      <c r="AB605" s="2042"/>
      <c r="AC605" s="2042"/>
      <c r="AD605" s="2042"/>
      <c r="AE605" s="2042"/>
      <c r="AF605" s="2566"/>
      <c r="AG605" s="2562"/>
      <c r="AH605" s="2562"/>
      <c r="AI605" s="2566"/>
      <c r="AJ605" s="2562"/>
      <c r="AK605" s="2562"/>
      <c r="AL605" s="1994"/>
      <c r="AM605" s="1831"/>
      <c r="AN605" s="1831"/>
      <c r="AO605" s="1831"/>
      <c r="AP605" s="1831"/>
      <c r="AQ605" s="1831"/>
      <c r="AR605" s="1831"/>
      <c r="AS605" s="1831"/>
      <c r="AT605" s="1831"/>
      <c r="AU605" s="1831"/>
      <c r="AV605" s="1831"/>
      <c r="AW605" s="1831"/>
      <c r="AX605" s="1831"/>
      <c r="AY605" s="1831"/>
      <c r="AZ605" s="1831"/>
      <c r="BA605" s="1831"/>
      <c r="BB605" s="1831"/>
      <c r="BC605" s="1831"/>
      <c r="BD605" s="1831"/>
      <c r="BE605" s="1831"/>
      <c r="BF605" s="1831"/>
      <c r="BG605" s="1644"/>
    </row>
    <row customHeight="1" ht="0.75">
      <c r="A606" s="1175" t="s">
        <v>1036</v>
      </c>
      <c r="B606" s="1175"/>
      <c r="C606" s="1175"/>
      <c r="D606" s="1169"/>
      <c r="E606" s="1179"/>
      <c r="F606" s="2564"/>
      <c r="G606" s="2543"/>
      <c r="H606" s="2568"/>
      <c r="I606" s="2569"/>
      <c r="J606" s="2570"/>
      <c r="K606" s="2570"/>
      <c r="L606" s="2562"/>
      <c r="M606" s="2296"/>
      <c r="N606" s="2571"/>
      <c r="O606" s="2572"/>
      <c r="P606" s="2616"/>
      <c r="Q606" s="2567"/>
      <c r="R606" s="2567"/>
      <c r="S606" s="2567"/>
      <c r="T606" s="2567"/>
      <c r="U606" s="2567"/>
      <c r="V606" s="2567"/>
      <c r="W606" s="2567"/>
      <c r="X606" s="2567"/>
      <c r="Y606" s="2567"/>
      <c r="Z606" s="2043"/>
      <c r="AA606" s="2044"/>
      <c r="AB606" s="2044"/>
      <c r="AC606" s="2045"/>
      <c r="AD606" s="2045"/>
      <c r="AE606" s="2046"/>
      <c r="AF606" s="2566"/>
      <c r="AG606" s="2562"/>
      <c r="AH606" s="2562"/>
      <c r="AI606" s="2566"/>
      <c r="AJ606" s="2562"/>
      <c r="AK606" s="2562"/>
      <c r="AL606" s="1994"/>
      <c r="AM606" s="1831"/>
      <c r="AN606" s="1831"/>
      <c r="AO606" s="1831"/>
      <c r="AP606" s="1831"/>
      <c r="AQ606" s="1831"/>
      <c r="AR606" s="1831"/>
      <c r="AS606" s="1831"/>
      <c r="AT606" s="1831"/>
      <c r="AU606" s="1831"/>
      <c r="AV606" s="1831"/>
      <c r="AW606" s="1831"/>
      <c r="AX606" s="1831"/>
      <c r="AY606" s="1831"/>
      <c r="AZ606" s="1831"/>
      <c r="BA606" s="1831"/>
      <c r="BB606" s="1831"/>
      <c r="BC606" s="1831"/>
      <c r="BD606" s="1831"/>
      <c r="BE606" s="1831"/>
      <c r="BF606" s="1831"/>
      <c r="BG606" s="1644"/>
    </row>
    <row customHeight="1" ht="0.75">
      <c r="A607" s="1175" t="s">
        <v>1036</v>
      </c>
      <c r="B607" s="1175"/>
      <c r="C607" s="1175"/>
      <c r="D607" s="1169"/>
      <c r="E607" s="1179"/>
      <c r="F607" s="2564"/>
      <c r="G607" s="2543"/>
      <c r="H607" s="2568"/>
      <c r="I607" s="2569"/>
      <c r="J607" s="2570"/>
      <c r="K607" s="2570"/>
      <c r="L607" s="2562"/>
      <c r="M607" s="2296"/>
      <c r="N607" s="2571"/>
      <c r="O607" s="2572"/>
      <c r="P607" s="2617"/>
      <c r="Q607" s="2567"/>
      <c r="R607" s="2567"/>
      <c r="S607" s="2567"/>
      <c r="T607" s="2567"/>
      <c r="U607" s="2567"/>
      <c r="V607" s="2567"/>
      <c r="W607" s="2567"/>
      <c r="X607" s="2567"/>
      <c r="Y607" s="2567"/>
      <c r="Z607" s="2047"/>
      <c r="AA607" s="2048"/>
      <c r="AB607" s="2049"/>
      <c r="AC607" s="2050"/>
      <c r="AD607" s="2049"/>
      <c r="AE607" s="2050"/>
      <c r="AF607" s="2566"/>
      <c r="AG607" s="2562"/>
      <c r="AH607" s="2562"/>
      <c r="AI607" s="2566"/>
      <c r="AJ607" s="2562"/>
      <c r="AK607" s="2562"/>
      <c r="AL607" s="1994"/>
      <c r="AM607" s="1831"/>
      <c r="AN607" s="1831"/>
      <c r="AO607" s="1831"/>
      <c r="AP607" s="1831"/>
      <c r="AQ607" s="1831"/>
      <c r="AR607" s="1831"/>
      <c r="AS607" s="1831"/>
      <c r="AT607" s="1831"/>
      <c r="AU607" s="1831"/>
      <c r="AV607" s="1831"/>
      <c r="AW607" s="1831"/>
      <c r="AX607" s="1831"/>
      <c r="AY607" s="1831"/>
      <c r="AZ607" s="1831"/>
      <c r="BA607" s="1831"/>
      <c r="BB607" s="1831"/>
      <c r="BC607" s="1831"/>
      <c r="BD607" s="1831"/>
      <c r="BE607" s="1831"/>
      <c r="BF607" s="1831"/>
      <c r="BG607" s="1644"/>
    </row>
    <row customHeight="1" ht="0.75">
      <c r="A608" s="1175" t="s">
        <v>1036</v>
      </c>
      <c r="B608" s="1175"/>
      <c r="C608" s="1175"/>
      <c r="D608" s="1169"/>
      <c r="E608" s="1179"/>
      <c r="F608" s="2564"/>
      <c r="G608" s="2543"/>
      <c r="H608" s="2568"/>
      <c r="I608" s="2569"/>
      <c r="J608" s="2570"/>
      <c r="K608" s="2570"/>
      <c r="L608" s="2562"/>
      <c r="M608" s="2296"/>
      <c r="N608" s="2571"/>
      <c r="O608" s="2572"/>
      <c r="P608" s="2618"/>
      <c r="Q608" s="2567"/>
      <c r="R608" s="2567"/>
      <c r="S608" s="2567"/>
      <c r="T608" s="2567"/>
      <c r="U608" s="2567"/>
      <c r="V608" s="2567"/>
      <c r="W608" s="2567"/>
      <c r="X608" s="2567"/>
      <c r="Y608" s="2567"/>
      <c r="Z608" s="2043"/>
      <c r="AA608" s="2044"/>
      <c r="AB608" s="2051"/>
      <c r="AC608" s="2045"/>
      <c r="AD608" s="2045"/>
      <c r="AE608" s="2052"/>
      <c r="AF608" s="2566"/>
      <c r="AG608" s="2562"/>
      <c r="AH608" s="2562"/>
      <c r="AI608" s="2566"/>
      <c r="AJ608" s="2562"/>
      <c r="AK608" s="2562"/>
      <c r="AL608" s="1994"/>
      <c r="AM608" s="1831"/>
      <c r="AN608" s="1831"/>
      <c r="AO608" s="1831"/>
      <c r="AP608" s="1831"/>
      <c r="AQ608" s="1831"/>
      <c r="AR608" s="1831"/>
      <c r="AS608" s="1831"/>
      <c r="AT608" s="1831"/>
      <c r="AU608" s="1831"/>
      <c r="AV608" s="1831"/>
      <c r="AW608" s="1831"/>
      <c r="AX608" s="1831"/>
      <c r="AY608" s="1831"/>
      <c r="AZ608" s="1831"/>
      <c r="BA608" s="1831"/>
      <c r="BB608" s="1831"/>
      <c r="BC608" s="1831"/>
      <c r="BD608" s="1831"/>
      <c r="BE608" s="1831"/>
      <c r="BF608" s="1831"/>
      <c r="BG608" s="1644"/>
    </row>
    <row customHeight="1" ht="0.75">
      <c r="A609" s="1175" t="s">
        <v>1036</v>
      </c>
      <c r="B609" s="1175"/>
      <c r="C609" s="1175"/>
      <c r="D609" s="1169"/>
      <c r="E609" s="1179"/>
      <c r="F609" s="2564"/>
      <c r="G609" s="2543"/>
      <c r="H609" s="2568"/>
      <c r="I609" s="2569"/>
      <c r="J609" s="2570"/>
      <c r="K609" s="2570"/>
      <c r="L609" s="2562"/>
      <c r="M609" s="2296"/>
      <c r="N609" s="2044"/>
      <c r="O609" s="2044"/>
      <c r="P609" s="2051"/>
      <c r="Q609" s="2044"/>
      <c r="R609" s="2044"/>
      <c r="S609" s="2044"/>
      <c r="T609" s="2044"/>
      <c r="U609" s="2044"/>
      <c r="V609" s="2044"/>
      <c r="W609" s="2044"/>
      <c r="X609" s="2044"/>
      <c r="Y609" s="2044"/>
      <c r="Z609" s="2044"/>
      <c r="AA609" s="2044"/>
      <c r="AB609" s="2044"/>
      <c r="AC609" s="2044"/>
      <c r="AD609" s="2044"/>
      <c r="AE609" s="2053"/>
      <c r="AF609" s="2566"/>
      <c r="AG609" s="2562"/>
      <c r="AH609" s="2562"/>
      <c r="AI609" s="2566"/>
      <c r="AJ609" s="2562"/>
      <c r="AK609" s="2562"/>
      <c r="AL609" s="1994"/>
      <c r="AM609" s="1831"/>
      <c r="AN609" s="1831"/>
      <c r="AO609" s="1831"/>
      <c r="AP609" s="1831"/>
      <c r="AQ609" s="1831"/>
      <c r="AR609" s="1831"/>
      <c r="AS609" s="1831"/>
      <c r="AT609" s="1831"/>
      <c r="AU609" s="1831"/>
      <c r="AV609" s="1831"/>
      <c r="AW609" s="1831"/>
      <c r="AX609" s="1831"/>
      <c r="AY609" s="1831"/>
      <c r="AZ609" s="1831"/>
      <c r="BA609" s="1831"/>
      <c r="BB609" s="1831"/>
      <c r="BC609" s="1831"/>
      <c r="BD609" s="1831"/>
      <c r="BE609" s="1831"/>
      <c r="BF609" s="1831"/>
      <c r="BG609" s="1644"/>
    </row>
    <row customHeight="1" ht="12">
      <c r="A610" s="1175" t="s">
        <v>1036</v>
      </c>
      <c r="B610" s="1175"/>
      <c r="C610" s="1175"/>
      <c r="D610" s="1169"/>
      <c r="E610" s="1179"/>
      <c r="F610" s="2565"/>
      <c r="G610" s="1199"/>
      <c r="H610" s="1199"/>
      <c r="I610" s="2563" t="s">
        <v>1320</v>
      </c>
      <c r="J610" s="2563"/>
      <c r="K610" s="2563"/>
      <c r="L610" s="1182"/>
      <c r="M610" s="1182"/>
      <c r="N610" s="1183"/>
      <c r="O610" s="1183"/>
      <c r="P610" s="1183"/>
      <c r="Q610" s="1183"/>
      <c r="R610" s="1183"/>
      <c r="S610" s="1183"/>
      <c r="T610" s="1183"/>
      <c r="U610" s="1183"/>
      <c r="V610" s="1183"/>
      <c r="W610" s="1183"/>
      <c r="X610" s="1183"/>
      <c r="Y610" s="1183"/>
      <c r="Z610" s="1183"/>
      <c r="AA610" s="1183"/>
      <c r="AB610" s="1183"/>
      <c r="AC610" s="1183"/>
      <c r="AD610" s="1183"/>
      <c r="AE610" s="1183"/>
      <c r="AF610" s="1183"/>
      <c r="AG610" s="1182"/>
      <c r="AH610" s="1182"/>
      <c r="AI610" s="1183"/>
      <c r="AJ610" s="1182"/>
      <c r="AK610" s="1183"/>
      <c r="AL610" s="1994"/>
      <c r="AM610" s="1831"/>
      <c r="AN610" s="1831"/>
      <c r="AO610" s="1831"/>
      <c r="AP610" s="1831"/>
      <c r="AQ610" s="1831"/>
      <c r="AR610" s="1831"/>
      <c r="AS610" s="1831"/>
      <c r="AT610" s="1831"/>
      <c r="AU610" s="1831"/>
      <c r="AV610" s="1831"/>
      <c r="AW610" s="1831"/>
      <c r="AX610" s="1831"/>
      <c r="AY610" s="1831"/>
      <c r="AZ610" s="1831"/>
      <c r="BA610" s="1831"/>
      <c r="BB610" s="1831"/>
      <c r="BC610" s="1831"/>
      <c r="BD610" s="1831"/>
      <c r="BE610" s="1831"/>
      <c r="BF610" s="1831"/>
      <c r="BG610" s="1644"/>
    </row>
    <row customHeight="1" ht="0.75">
      <c r="A611" s="1175" t="s">
        <v>1036</v>
      </c>
      <c r="B611" s="1175"/>
      <c r="C611" s="1175"/>
      <c r="D611" s="1169"/>
      <c r="E611" s="1179"/>
      <c r="F611" s="2564">
        <v>2027</v>
      </c>
      <c r="G611" s="2543"/>
      <c r="H611" s="2568" t="s">
        <v>391</v>
      </c>
      <c r="I611" s="2569"/>
      <c r="J611" s="2570"/>
      <c r="K611" s="2570"/>
      <c r="L611" s="2562"/>
      <c r="M611" s="2296"/>
      <c r="N611" s="2042"/>
      <c r="O611" s="2041"/>
      <c r="P611" s="2042"/>
      <c r="Q611" s="2042"/>
      <c r="R611" s="2042"/>
      <c r="S611" s="2042"/>
      <c r="T611" s="2042"/>
      <c r="U611" s="2042"/>
      <c r="V611" s="2042"/>
      <c r="W611" s="2042"/>
      <c r="X611" s="2042"/>
      <c r="Y611" s="2042"/>
      <c r="Z611" s="2042"/>
      <c r="AA611" s="2042"/>
      <c r="AB611" s="2042"/>
      <c r="AC611" s="2042"/>
      <c r="AD611" s="2042"/>
      <c r="AE611" s="2042"/>
      <c r="AF611" s="2566"/>
      <c r="AG611" s="2562"/>
      <c r="AH611" s="2562"/>
      <c r="AI611" s="2566"/>
      <c r="AJ611" s="2562"/>
      <c r="AK611" s="2562"/>
      <c r="AL611" s="1994"/>
      <c r="AM611" s="1831"/>
      <c r="AN611" s="1831"/>
      <c r="AO611" s="1831"/>
      <c r="AP611" s="1831"/>
      <c r="AQ611" s="1831"/>
      <c r="AR611" s="1831"/>
      <c r="AS611" s="1831"/>
      <c r="AT611" s="1831"/>
      <c r="AU611" s="1831"/>
      <c r="AV611" s="1831"/>
      <c r="AW611" s="1831"/>
      <c r="AX611" s="1831"/>
      <c r="AY611" s="1831"/>
      <c r="AZ611" s="1831"/>
      <c r="BA611" s="1831"/>
      <c r="BB611" s="1831"/>
      <c r="BC611" s="1831"/>
      <c r="BD611" s="1831"/>
      <c r="BE611" s="1831"/>
      <c r="BF611" s="1831"/>
      <c r="BG611" s="1644"/>
    </row>
    <row customHeight="1" ht="0.75">
      <c r="A612" s="1175" t="s">
        <v>1036</v>
      </c>
      <c r="B612" s="1175"/>
      <c r="C612" s="1175"/>
      <c r="D612" s="1169"/>
      <c r="E612" s="1179"/>
      <c r="F612" s="2564"/>
      <c r="G612" s="2543"/>
      <c r="H612" s="2568"/>
      <c r="I612" s="2569"/>
      <c r="J612" s="2570"/>
      <c r="K612" s="2570"/>
      <c r="L612" s="2562"/>
      <c r="M612" s="2296"/>
      <c r="N612" s="2571"/>
      <c r="O612" s="2572"/>
      <c r="P612" s="2616"/>
      <c r="Q612" s="2567"/>
      <c r="R612" s="2567"/>
      <c r="S612" s="2567"/>
      <c r="T612" s="2567"/>
      <c r="U612" s="2567"/>
      <c r="V612" s="2567"/>
      <c r="W612" s="2567"/>
      <c r="X612" s="2567"/>
      <c r="Y612" s="2567"/>
      <c r="Z612" s="2043"/>
      <c r="AA612" s="2044"/>
      <c r="AB612" s="2044"/>
      <c r="AC612" s="2045"/>
      <c r="AD612" s="2045"/>
      <c r="AE612" s="2046"/>
      <c r="AF612" s="2566"/>
      <c r="AG612" s="2562"/>
      <c r="AH612" s="2562"/>
      <c r="AI612" s="2566"/>
      <c r="AJ612" s="2562"/>
      <c r="AK612" s="2562"/>
      <c r="AL612" s="1994"/>
      <c r="AM612" s="1831"/>
      <c r="AN612" s="1831"/>
      <c r="AO612" s="1831"/>
      <c r="AP612" s="1831"/>
      <c r="AQ612" s="1831"/>
      <c r="AR612" s="1831"/>
      <c r="AS612" s="1831"/>
      <c r="AT612" s="1831"/>
      <c r="AU612" s="1831"/>
      <c r="AV612" s="1831"/>
      <c r="AW612" s="1831"/>
      <c r="AX612" s="1831"/>
      <c r="AY612" s="1831"/>
      <c r="AZ612" s="1831"/>
      <c r="BA612" s="1831"/>
      <c r="BB612" s="1831"/>
      <c r="BC612" s="1831"/>
      <c r="BD612" s="1831"/>
      <c r="BE612" s="1831"/>
      <c r="BF612" s="1831"/>
      <c r="BG612" s="1644"/>
    </row>
    <row customHeight="1" ht="0.75">
      <c r="A613" s="1175" t="s">
        <v>1036</v>
      </c>
      <c r="B613" s="1175"/>
      <c r="C613" s="1175"/>
      <c r="D613" s="1169"/>
      <c r="E613" s="1179"/>
      <c r="F613" s="2564"/>
      <c r="G613" s="2543"/>
      <c r="H613" s="2568"/>
      <c r="I613" s="2569"/>
      <c r="J613" s="2570"/>
      <c r="K613" s="2570"/>
      <c r="L613" s="2562"/>
      <c r="M613" s="2296"/>
      <c r="N613" s="2571"/>
      <c r="O613" s="2572"/>
      <c r="P613" s="2617"/>
      <c r="Q613" s="2567"/>
      <c r="R613" s="2567"/>
      <c r="S613" s="2567"/>
      <c r="T613" s="2567"/>
      <c r="U613" s="2567"/>
      <c r="V613" s="2567"/>
      <c r="W613" s="2567"/>
      <c r="X613" s="2567"/>
      <c r="Y613" s="2567"/>
      <c r="Z613" s="2047"/>
      <c r="AA613" s="2048"/>
      <c r="AB613" s="2049"/>
      <c r="AC613" s="2050"/>
      <c r="AD613" s="2049"/>
      <c r="AE613" s="2050"/>
      <c r="AF613" s="2566"/>
      <c r="AG613" s="2562"/>
      <c r="AH613" s="2562"/>
      <c r="AI613" s="2566"/>
      <c r="AJ613" s="2562"/>
      <c r="AK613" s="2562"/>
      <c r="AL613" s="1994"/>
      <c r="AM613" s="1831"/>
      <c r="AN613" s="1831"/>
      <c r="AO613" s="1831"/>
      <c r="AP613" s="1831"/>
      <c r="AQ613" s="1831"/>
      <c r="AR613" s="1831"/>
      <c r="AS613" s="1831"/>
      <c r="AT613" s="1831"/>
      <c r="AU613" s="1831"/>
      <c r="AV613" s="1831"/>
      <c r="AW613" s="1831"/>
      <c r="AX613" s="1831"/>
      <c r="AY613" s="1831"/>
      <c r="AZ613" s="1831"/>
      <c r="BA613" s="1831"/>
      <c r="BB613" s="1831"/>
      <c r="BC613" s="1831"/>
      <c r="BD613" s="1831"/>
      <c r="BE613" s="1831"/>
      <c r="BF613" s="1831"/>
      <c r="BG613" s="1644"/>
    </row>
    <row customHeight="1" ht="0.75">
      <c r="A614" s="1175" t="s">
        <v>1036</v>
      </c>
      <c r="B614" s="1175"/>
      <c r="C614" s="1175"/>
      <c r="D614" s="1169"/>
      <c r="E614" s="1179"/>
      <c r="F614" s="2564"/>
      <c r="G614" s="2543"/>
      <c r="H614" s="2568"/>
      <c r="I614" s="2569"/>
      <c r="J614" s="2570"/>
      <c r="K614" s="2570"/>
      <c r="L614" s="2562"/>
      <c r="M614" s="2296"/>
      <c r="N614" s="2571"/>
      <c r="O614" s="2572"/>
      <c r="P614" s="2618"/>
      <c r="Q614" s="2567"/>
      <c r="R614" s="2567"/>
      <c r="S614" s="2567"/>
      <c r="T614" s="2567"/>
      <c r="U614" s="2567"/>
      <c r="V614" s="2567"/>
      <c r="W614" s="2567"/>
      <c r="X614" s="2567"/>
      <c r="Y614" s="2567"/>
      <c r="Z614" s="2043"/>
      <c r="AA614" s="2044"/>
      <c r="AB614" s="2051"/>
      <c r="AC614" s="2045"/>
      <c r="AD614" s="2045"/>
      <c r="AE614" s="2052"/>
      <c r="AF614" s="2566"/>
      <c r="AG614" s="2562"/>
      <c r="AH614" s="2562"/>
      <c r="AI614" s="2566"/>
      <c r="AJ614" s="2562"/>
      <c r="AK614" s="2562"/>
      <c r="AL614" s="1994"/>
      <c r="AM614" s="1831"/>
      <c r="AN614" s="1831"/>
      <c r="AO614" s="1831"/>
      <c r="AP614" s="1831"/>
      <c r="AQ614" s="1831"/>
      <c r="AR614" s="1831"/>
      <c r="AS614" s="1831"/>
      <c r="AT614" s="1831"/>
      <c r="AU614" s="1831"/>
      <c r="AV614" s="1831"/>
      <c r="AW614" s="1831"/>
      <c r="AX614" s="1831"/>
      <c r="AY614" s="1831"/>
      <c r="AZ614" s="1831"/>
      <c r="BA614" s="1831"/>
      <c r="BB614" s="1831"/>
      <c r="BC614" s="1831"/>
      <c r="BD614" s="1831"/>
      <c r="BE614" s="1831"/>
      <c r="BF614" s="1831"/>
      <c r="BG614" s="1644"/>
    </row>
    <row customHeight="1" ht="0.75">
      <c r="A615" s="1175" t="s">
        <v>1036</v>
      </c>
      <c r="B615" s="1175"/>
      <c r="C615" s="1175"/>
      <c r="D615" s="1169"/>
      <c r="E615" s="1179"/>
      <c r="F615" s="2564"/>
      <c r="G615" s="2543"/>
      <c r="H615" s="2568"/>
      <c r="I615" s="2569"/>
      <c r="J615" s="2570"/>
      <c r="K615" s="2570"/>
      <c r="L615" s="2562"/>
      <c r="M615" s="2296"/>
      <c r="N615" s="2044"/>
      <c r="O615" s="2044"/>
      <c r="P615" s="2051"/>
      <c r="Q615" s="2044"/>
      <c r="R615" s="2044"/>
      <c r="S615" s="2044"/>
      <c r="T615" s="2044"/>
      <c r="U615" s="2044"/>
      <c r="V615" s="2044"/>
      <c r="W615" s="2044"/>
      <c r="X615" s="2044"/>
      <c r="Y615" s="2044"/>
      <c r="Z615" s="2044"/>
      <c r="AA615" s="2044"/>
      <c r="AB615" s="2044"/>
      <c r="AC615" s="2044"/>
      <c r="AD615" s="2044"/>
      <c r="AE615" s="2053"/>
      <c r="AF615" s="2566"/>
      <c r="AG615" s="2562"/>
      <c r="AH615" s="2562"/>
      <c r="AI615" s="2566"/>
      <c r="AJ615" s="2562"/>
      <c r="AK615" s="2562"/>
      <c r="AL615" s="1994"/>
      <c r="AM615" s="1831"/>
      <c r="AN615" s="1831"/>
      <c r="AO615" s="1831"/>
      <c r="AP615" s="1831"/>
      <c r="AQ615" s="1831"/>
      <c r="AR615" s="1831"/>
      <c r="AS615" s="1831"/>
      <c r="AT615" s="1831"/>
      <c r="AU615" s="1831"/>
      <c r="AV615" s="1831"/>
      <c r="AW615" s="1831"/>
      <c r="AX615" s="1831"/>
      <c r="AY615" s="1831"/>
      <c r="AZ615" s="1831"/>
      <c r="BA615" s="1831"/>
      <c r="BB615" s="1831"/>
      <c r="BC615" s="1831"/>
      <c r="BD615" s="1831"/>
      <c r="BE615" s="1831"/>
      <c r="BF615" s="1831"/>
      <c r="BG615" s="1644"/>
    </row>
    <row customHeight="1" ht="12">
      <c r="A616" s="1175" t="s">
        <v>1036</v>
      </c>
      <c r="B616" s="1175"/>
      <c r="C616" s="1175"/>
      <c r="D616" s="1169"/>
      <c r="E616" s="1179"/>
      <c r="F616" s="2565"/>
      <c r="G616" s="1199"/>
      <c r="H616" s="1199"/>
      <c r="I616" s="2563" t="s">
        <v>1320</v>
      </c>
      <c r="J616" s="2563"/>
      <c r="K616" s="2563"/>
      <c r="L616" s="1182"/>
      <c r="M616" s="1182"/>
      <c r="N616" s="1183"/>
      <c r="O616" s="1183"/>
      <c r="P616" s="1183"/>
      <c r="Q616" s="1183"/>
      <c r="R616" s="1183"/>
      <c r="S616" s="1183"/>
      <c r="T616" s="1183"/>
      <c r="U616" s="1183"/>
      <c r="V616" s="1183"/>
      <c r="W616" s="1183"/>
      <c r="X616" s="1183"/>
      <c r="Y616" s="1183"/>
      <c r="Z616" s="1183"/>
      <c r="AA616" s="1183"/>
      <c r="AB616" s="1183"/>
      <c r="AC616" s="1183"/>
      <c r="AD616" s="1183"/>
      <c r="AE616" s="1183"/>
      <c r="AF616" s="1183"/>
      <c r="AG616" s="1182"/>
      <c r="AH616" s="1182"/>
      <c r="AI616" s="1183"/>
      <c r="AJ616" s="1182"/>
      <c r="AK616" s="1183"/>
      <c r="AL616" s="1994"/>
      <c r="AM616" s="1831"/>
      <c r="AN616" s="1831"/>
      <c r="AO616" s="1831"/>
      <c r="AP616" s="1831"/>
      <c r="AQ616" s="1831"/>
      <c r="AR616" s="1831"/>
      <c r="AS616" s="1831"/>
      <c r="AT616" s="1831"/>
      <c r="AU616" s="1831"/>
      <c r="AV616" s="1831"/>
      <c r="AW616" s="1831"/>
      <c r="AX616" s="1831"/>
      <c r="AY616" s="1831"/>
      <c r="AZ616" s="1831"/>
      <c r="BA616" s="1831"/>
      <c r="BB616" s="1831"/>
      <c r="BC616" s="1831"/>
      <c r="BD616" s="1831"/>
      <c r="BE616" s="1831"/>
      <c r="BF616" s="1831"/>
      <c r="BG616" s="1644"/>
    </row>
    <row customHeight="1" ht="0.75">
      <c r="A617" s="1175" t="s">
        <v>1036</v>
      </c>
      <c r="B617" s="1175"/>
      <c r="C617" s="1175"/>
      <c r="D617" s="1169"/>
      <c r="E617" s="1179"/>
      <c r="F617" s="2564">
        <v>2028</v>
      </c>
      <c r="G617" s="2543"/>
      <c r="H617" s="2568" t="s">
        <v>391</v>
      </c>
      <c r="I617" s="2569"/>
      <c r="J617" s="2570"/>
      <c r="K617" s="2570"/>
      <c r="L617" s="2562"/>
      <c r="M617" s="2296"/>
      <c r="N617" s="2042"/>
      <c r="O617" s="2041"/>
      <c r="P617" s="2042"/>
      <c r="Q617" s="2042"/>
      <c r="R617" s="2042"/>
      <c r="S617" s="2042"/>
      <c r="T617" s="2042"/>
      <c r="U617" s="2042"/>
      <c r="V617" s="2042"/>
      <c r="W617" s="2042"/>
      <c r="X617" s="2042"/>
      <c r="Y617" s="2042"/>
      <c r="Z617" s="2042"/>
      <c r="AA617" s="2042"/>
      <c r="AB617" s="2042"/>
      <c r="AC617" s="2042"/>
      <c r="AD617" s="2042"/>
      <c r="AE617" s="2042"/>
      <c r="AF617" s="2566"/>
      <c r="AG617" s="2562"/>
      <c r="AH617" s="2562"/>
      <c r="AI617" s="2566"/>
      <c r="AJ617" s="2562"/>
      <c r="AK617" s="2562"/>
      <c r="AL617" s="1994"/>
      <c r="AM617" s="1831"/>
      <c r="AN617" s="1831"/>
      <c r="AO617" s="1831"/>
      <c r="AP617" s="1831"/>
      <c r="AQ617" s="1831"/>
      <c r="AR617" s="1831"/>
      <c r="AS617" s="1831"/>
      <c r="AT617" s="1831"/>
      <c r="AU617" s="1831"/>
      <c r="AV617" s="1831"/>
      <c r="AW617" s="1831"/>
      <c r="AX617" s="1831"/>
      <c r="AY617" s="1831"/>
      <c r="AZ617" s="1831"/>
      <c r="BA617" s="1831"/>
      <c r="BB617" s="1831"/>
      <c r="BC617" s="1831"/>
      <c r="BD617" s="1831"/>
      <c r="BE617" s="1831"/>
      <c r="BF617" s="1831"/>
      <c r="BG617" s="1644"/>
    </row>
    <row customHeight="1" ht="0.75">
      <c r="A618" s="1175" t="s">
        <v>1036</v>
      </c>
      <c r="B618" s="1175"/>
      <c r="C618" s="1175"/>
      <c r="D618" s="1169"/>
      <c r="E618" s="1179"/>
      <c r="F618" s="2564"/>
      <c r="G618" s="2543"/>
      <c r="H618" s="2568"/>
      <c r="I618" s="2569"/>
      <c r="J618" s="2570"/>
      <c r="K618" s="2570"/>
      <c r="L618" s="2562"/>
      <c r="M618" s="2296"/>
      <c r="N618" s="2571"/>
      <c r="O618" s="2572"/>
      <c r="P618" s="2616"/>
      <c r="Q618" s="2567"/>
      <c r="R618" s="2567"/>
      <c r="S618" s="2567"/>
      <c r="T618" s="2567"/>
      <c r="U618" s="2567"/>
      <c r="V618" s="2567"/>
      <c r="W618" s="2567"/>
      <c r="X618" s="2567"/>
      <c r="Y618" s="2567"/>
      <c r="Z618" s="2043"/>
      <c r="AA618" s="2044"/>
      <c r="AB618" s="2044"/>
      <c r="AC618" s="2045"/>
      <c r="AD618" s="2045"/>
      <c r="AE618" s="2046"/>
      <c r="AF618" s="2566"/>
      <c r="AG618" s="2562"/>
      <c r="AH618" s="2562"/>
      <c r="AI618" s="2566"/>
      <c r="AJ618" s="2562"/>
      <c r="AK618" s="2562"/>
      <c r="AL618" s="1994"/>
      <c r="AM618" s="1831"/>
      <c r="AN618" s="1831"/>
      <c r="AO618" s="1831"/>
      <c r="AP618" s="1831"/>
      <c r="AQ618" s="1831"/>
      <c r="AR618" s="1831"/>
      <c r="AS618" s="1831"/>
      <c r="AT618" s="1831"/>
      <c r="AU618" s="1831"/>
      <c r="AV618" s="1831"/>
      <c r="AW618" s="1831"/>
      <c r="AX618" s="1831"/>
      <c r="AY618" s="1831"/>
      <c r="AZ618" s="1831"/>
      <c r="BA618" s="1831"/>
      <c r="BB618" s="1831"/>
      <c r="BC618" s="1831"/>
      <c r="BD618" s="1831"/>
      <c r="BE618" s="1831"/>
      <c r="BF618" s="1831"/>
      <c r="BG618" s="1644"/>
    </row>
    <row customHeight="1" ht="0.75">
      <c r="A619" s="1175" t="s">
        <v>1036</v>
      </c>
      <c r="B619" s="1175"/>
      <c r="C619" s="1175"/>
      <c r="D619" s="1169"/>
      <c r="E619" s="1179"/>
      <c r="F619" s="2564"/>
      <c r="G619" s="2543"/>
      <c r="H619" s="2568"/>
      <c r="I619" s="2569"/>
      <c r="J619" s="2570"/>
      <c r="K619" s="2570"/>
      <c r="L619" s="2562"/>
      <c r="M619" s="2296"/>
      <c r="N619" s="2571"/>
      <c r="O619" s="2572"/>
      <c r="P619" s="2617"/>
      <c r="Q619" s="2567"/>
      <c r="R619" s="2567"/>
      <c r="S619" s="2567"/>
      <c r="T619" s="2567"/>
      <c r="U619" s="2567"/>
      <c r="V619" s="2567"/>
      <c r="W619" s="2567"/>
      <c r="X619" s="2567"/>
      <c r="Y619" s="2567"/>
      <c r="Z619" s="2047"/>
      <c r="AA619" s="2048"/>
      <c r="AB619" s="2049"/>
      <c r="AC619" s="2050"/>
      <c r="AD619" s="2049"/>
      <c r="AE619" s="2050"/>
      <c r="AF619" s="2566"/>
      <c r="AG619" s="2562"/>
      <c r="AH619" s="2562"/>
      <c r="AI619" s="2566"/>
      <c r="AJ619" s="2562"/>
      <c r="AK619" s="2562"/>
      <c r="AL619" s="1994"/>
      <c r="AM619" s="1831"/>
      <c r="AN619" s="1831"/>
      <c r="AO619" s="1831"/>
      <c r="AP619" s="1831"/>
      <c r="AQ619" s="1831"/>
      <c r="AR619" s="1831"/>
      <c r="AS619" s="1831"/>
      <c r="AT619" s="1831"/>
      <c r="AU619" s="1831"/>
      <c r="AV619" s="1831"/>
      <c r="AW619" s="1831"/>
      <c r="AX619" s="1831"/>
      <c r="AY619" s="1831"/>
      <c r="AZ619" s="1831"/>
      <c r="BA619" s="1831"/>
      <c r="BB619" s="1831"/>
      <c r="BC619" s="1831"/>
      <c r="BD619" s="1831"/>
      <c r="BE619" s="1831"/>
      <c r="BF619" s="1831"/>
      <c r="BG619" s="1644"/>
    </row>
    <row customHeight="1" ht="0.75">
      <c r="A620" s="1175" t="s">
        <v>1036</v>
      </c>
      <c r="B620" s="1175"/>
      <c r="C620" s="1175"/>
      <c r="D620" s="1169"/>
      <c r="E620" s="1179"/>
      <c r="F620" s="2564"/>
      <c r="G620" s="2543"/>
      <c r="H620" s="2568"/>
      <c r="I620" s="2569"/>
      <c r="J620" s="2570"/>
      <c r="K620" s="2570"/>
      <c r="L620" s="2562"/>
      <c r="M620" s="2296"/>
      <c r="N620" s="2571"/>
      <c r="O620" s="2572"/>
      <c r="P620" s="2618"/>
      <c r="Q620" s="2567"/>
      <c r="R620" s="2567"/>
      <c r="S620" s="2567"/>
      <c r="T620" s="2567"/>
      <c r="U620" s="2567"/>
      <c r="V620" s="2567"/>
      <c r="W620" s="2567"/>
      <c r="X620" s="2567"/>
      <c r="Y620" s="2567"/>
      <c r="Z620" s="2043"/>
      <c r="AA620" s="2044"/>
      <c r="AB620" s="2051"/>
      <c r="AC620" s="2045"/>
      <c r="AD620" s="2045"/>
      <c r="AE620" s="2052"/>
      <c r="AF620" s="2566"/>
      <c r="AG620" s="2562"/>
      <c r="AH620" s="2562"/>
      <c r="AI620" s="2566"/>
      <c r="AJ620" s="2562"/>
      <c r="AK620" s="2562"/>
      <c r="AL620" s="1994"/>
      <c r="AM620" s="1831"/>
      <c r="AN620" s="1831"/>
      <c r="AO620" s="1831"/>
      <c r="AP620" s="1831"/>
      <c r="AQ620" s="1831"/>
      <c r="AR620" s="1831"/>
      <c r="AS620" s="1831"/>
      <c r="AT620" s="1831"/>
      <c r="AU620" s="1831"/>
      <c r="AV620" s="1831"/>
      <c r="AW620" s="1831"/>
      <c r="AX620" s="1831"/>
      <c r="AY620" s="1831"/>
      <c r="AZ620" s="1831"/>
      <c r="BA620" s="1831"/>
      <c r="BB620" s="1831"/>
      <c r="BC620" s="1831"/>
      <c r="BD620" s="1831"/>
      <c r="BE620" s="1831"/>
      <c r="BF620" s="1831"/>
      <c r="BG620" s="1644"/>
    </row>
    <row customHeight="1" ht="0.75">
      <c r="A621" s="1175" t="s">
        <v>1036</v>
      </c>
      <c r="B621" s="1175"/>
      <c r="C621" s="1175"/>
      <c r="D621" s="1169"/>
      <c r="E621" s="1179"/>
      <c r="F621" s="2564"/>
      <c r="G621" s="2543"/>
      <c r="H621" s="2568"/>
      <c r="I621" s="2569"/>
      <c r="J621" s="2570"/>
      <c r="K621" s="2570"/>
      <c r="L621" s="2562"/>
      <c r="M621" s="2296"/>
      <c r="N621" s="2044"/>
      <c r="O621" s="2044"/>
      <c r="P621" s="2051"/>
      <c r="Q621" s="2044"/>
      <c r="R621" s="2044"/>
      <c r="S621" s="2044"/>
      <c r="T621" s="2044"/>
      <c r="U621" s="2044"/>
      <c r="V621" s="2044"/>
      <c r="W621" s="2044"/>
      <c r="X621" s="2044"/>
      <c r="Y621" s="2044"/>
      <c r="Z621" s="2044"/>
      <c r="AA621" s="2044"/>
      <c r="AB621" s="2044"/>
      <c r="AC621" s="2044"/>
      <c r="AD621" s="2044"/>
      <c r="AE621" s="2053"/>
      <c r="AF621" s="2566"/>
      <c r="AG621" s="2562"/>
      <c r="AH621" s="2562"/>
      <c r="AI621" s="2566"/>
      <c r="AJ621" s="2562"/>
      <c r="AK621" s="2562"/>
      <c r="AL621" s="1994"/>
      <c r="AM621" s="1831"/>
      <c r="AN621" s="1831"/>
      <c r="AO621" s="1831"/>
      <c r="AP621" s="1831"/>
      <c r="AQ621" s="1831"/>
      <c r="AR621" s="1831"/>
      <c r="AS621" s="1831"/>
      <c r="AT621" s="1831"/>
      <c r="AU621" s="1831"/>
      <c r="AV621" s="1831"/>
      <c r="AW621" s="1831"/>
      <c r="AX621" s="1831"/>
      <c r="AY621" s="1831"/>
      <c r="AZ621" s="1831"/>
      <c r="BA621" s="1831"/>
      <c r="BB621" s="1831"/>
      <c r="BC621" s="1831"/>
      <c r="BD621" s="1831"/>
      <c r="BE621" s="1831"/>
      <c r="BF621" s="1831"/>
      <c r="BG621" s="1644"/>
    </row>
    <row customHeight="1" ht="12">
      <c r="A622" s="1175" t="s">
        <v>1036</v>
      </c>
      <c r="B622" s="1175"/>
      <c r="C622" s="1175"/>
      <c r="D622" s="1169"/>
      <c r="E622" s="1179"/>
      <c r="F622" s="2565"/>
      <c r="G622" s="1199"/>
      <c r="H622" s="1199"/>
      <c r="I622" s="2563" t="s">
        <v>1320</v>
      </c>
      <c r="J622" s="2563"/>
      <c r="K622" s="2563"/>
      <c r="L622" s="1182"/>
      <c r="M622" s="1182"/>
      <c r="N622" s="1183"/>
      <c r="O622" s="1183"/>
      <c r="P622" s="1183"/>
      <c r="Q622" s="1183"/>
      <c r="R622" s="1183"/>
      <c r="S622" s="1183"/>
      <c r="T622" s="1183"/>
      <c r="U622" s="1183"/>
      <c r="V622" s="1183"/>
      <c r="W622" s="1183"/>
      <c r="X622" s="1183"/>
      <c r="Y622" s="1183"/>
      <c r="Z622" s="1183"/>
      <c r="AA622" s="1183"/>
      <c r="AB622" s="1183"/>
      <c r="AC622" s="1183"/>
      <c r="AD622" s="1183"/>
      <c r="AE622" s="1183"/>
      <c r="AF622" s="1183"/>
      <c r="AG622" s="1182"/>
      <c r="AH622" s="1182"/>
      <c r="AI622" s="1183"/>
      <c r="AJ622" s="1182"/>
      <c r="AK622" s="1183"/>
      <c r="AL622" s="1994"/>
      <c r="AM622" s="1831"/>
      <c r="AN622" s="1831"/>
      <c r="AO622" s="1831"/>
      <c r="AP622" s="1831"/>
      <c r="AQ622" s="1831"/>
      <c r="AR622" s="1831"/>
      <c r="AS622" s="1831"/>
      <c r="AT622" s="1831"/>
      <c r="AU622" s="1831"/>
      <c r="AV622" s="1831"/>
      <c r="AW622" s="1831"/>
      <c r="AX622" s="1831"/>
      <c r="AY622" s="1831"/>
      <c r="AZ622" s="1831"/>
      <c r="BA622" s="1831"/>
      <c r="BB622" s="1831"/>
      <c r="BC622" s="1831"/>
      <c r="BD622" s="1831"/>
      <c r="BE622" s="1831"/>
      <c r="BF622" s="1831"/>
      <c r="BG622" s="1644"/>
    </row>
    <row customHeight="1" ht="0.75">
      <c r="A623" s="1175" t="s">
        <v>1036</v>
      </c>
      <c r="B623" s="1175"/>
      <c r="C623" s="1175"/>
      <c r="D623" s="1169"/>
      <c r="E623" s="1179"/>
      <c r="F623" s="2564">
        <v>2029</v>
      </c>
      <c r="G623" s="2543"/>
      <c r="H623" s="2568" t="s">
        <v>391</v>
      </c>
      <c r="I623" s="2569"/>
      <c r="J623" s="2570"/>
      <c r="K623" s="2570"/>
      <c r="L623" s="2562"/>
      <c r="M623" s="2296"/>
      <c r="N623" s="2042"/>
      <c r="O623" s="2041"/>
      <c r="P623" s="2042"/>
      <c r="Q623" s="2042"/>
      <c r="R623" s="2042"/>
      <c r="S623" s="2042"/>
      <c r="T623" s="2042"/>
      <c r="U623" s="2042"/>
      <c r="V623" s="2042"/>
      <c r="W623" s="2042"/>
      <c r="X623" s="2042"/>
      <c r="Y623" s="2042"/>
      <c r="Z623" s="2042"/>
      <c r="AA623" s="2042"/>
      <c r="AB623" s="2042"/>
      <c r="AC623" s="2042"/>
      <c r="AD623" s="2042"/>
      <c r="AE623" s="2042"/>
      <c r="AF623" s="2566"/>
      <c r="AG623" s="2562"/>
      <c r="AH623" s="2562"/>
      <c r="AI623" s="2566"/>
      <c r="AJ623" s="2562"/>
      <c r="AK623" s="2562"/>
      <c r="AL623" s="1994"/>
      <c r="AM623" s="1831"/>
      <c r="AN623" s="1831"/>
      <c r="AO623" s="1831"/>
      <c r="AP623" s="1831"/>
      <c r="AQ623" s="1831"/>
      <c r="AR623" s="1831"/>
      <c r="AS623" s="1831"/>
      <c r="AT623" s="1831"/>
      <c r="AU623" s="1831"/>
      <c r="AV623" s="1831"/>
      <c r="AW623" s="1831"/>
      <c r="AX623" s="1831"/>
      <c r="AY623" s="1831"/>
      <c r="AZ623" s="1831"/>
      <c r="BA623" s="1831"/>
      <c r="BB623" s="1831"/>
      <c r="BC623" s="1831"/>
      <c r="BD623" s="1831"/>
      <c r="BE623" s="1831"/>
      <c r="BF623" s="1831"/>
      <c r="BG623" s="1644"/>
    </row>
    <row customHeight="1" ht="0.75">
      <c r="A624" s="1175" t="s">
        <v>1036</v>
      </c>
      <c r="B624" s="1175"/>
      <c r="C624" s="1175"/>
      <c r="D624" s="1169"/>
      <c r="E624" s="1179"/>
      <c r="F624" s="2564"/>
      <c r="G624" s="2543"/>
      <c r="H624" s="2568"/>
      <c r="I624" s="2569"/>
      <c r="J624" s="2570"/>
      <c r="K624" s="2570"/>
      <c r="L624" s="2562"/>
      <c r="M624" s="2296"/>
      <c r="N624" s="2571"/>
      <c r="O624" s="2572"/>
      <c r="P624" s="2616"/>
      <c r="Q624" s="2567"/>
      <c r="R624" s="2567"/>
      <c r="S624" s="2567"/>
      <c r="T624" s="2567"/>
      <c r="U624" s="2567"/>
      <c r="V624" s="2567"/>
      <c r="W624" s="2567"/>
      <c r="X624" s="2567"/>
      <c r="Y624" s="2567"/>
      <c r="Z624" s="2043"/>
      <c r="AA624" s="2044"/>
      <c r="AB624" s="2044"/>
      <c r="AC624" s="2045"/>
      <c r="AD624" s="2045"/>
      <c r="AE624" s="2046"/>
      <c r="AF624" s="2566"/>
      <c r="AG624" s="2562"/>
      <c r="AH624" s="2562"/>
      <c r="AI624" s="2566"/>
      <c r="AJ624" s="2562"/>
      <c r="AK624" s="2562"/>
      <c r="AL624" s="1994"/>
      <c r="AM624" s="1831"/>
      <c r="AN624" s="1831"/>
      <c r="AO624" s="1831"/>
      <c r="AP624" s="1831"/>
      <c r="AQ624" s="1831"/>
      <c r="AR624" s="1831"/>
      <c r="AS624" s="1831"/>
      <c r="AT624" s="1831"/>
      <c r="AU624" s="1831"/>
      <c r="AV624" s="1831"/>
      <c r="AW624" s="1831"/>
      <c r="AX624" s="1831"/>
      <c r="AY624" s="1831"/>
      <c r="AZ624" s="1831"/>
      <c r="BA624" s="1831"/>
      <c r="BB624" s="1831"/>
      <c r="BC624" s="1831"/>
      <c r="BD624" s="1831"/>
      <c r="BE624" s="1831"/>
      <c r="BF624" s="1831"/>
      <c r="BG624" s="1644"/>
    </row>
    <row customHeight="1" ht="0.75">
      <c r="A625" s="1175" t="s">
        <v>1036</v>
      </c>
      <c r="B625" s="1175"/>
      <c r="C625" s="1175"/>
      <c r="D625" s="1169"/>
      <c r="E625" s="1179"/>
      <c r="F625" s="2564"/>
      <c r="G625" s="2543"/>
      <c r="H625" s="2568"/>
      <c r="I625" s="2569"/>
      <c r="J625" s="2570"/>
      <c r="K625" s="2570"/>
      <c r="L625" s="2562"/>
      <c r="M625" s="2296"/>
      <c r="N625" s="2571"/>
      <c r="O625" s="2572"/>
      <c r="P625" s="2617"/>
      <c r="Q625" s="2567"/>
      <c r="R625" s="2567"/>
      <c r="S625" s="2567"/>
      <c r="T625" s="2567"/>
      <c r="U625" s="2567"/>
      <c r="V625" s="2567"/>
      <c r="W625" s="2567"/>
      <c r="X625" s="2567"/>
      <c r="Y625" s="2567"/>
      <c r="Z625" s="2047"/>
      <c r="AA625" s="2048"/>
      <c r="AB625" s="2049"/>
      <c r="AC625" s="2050"/>
      <c r="AD625" s="2049"/>
      <c r="AE625" s="2050"/>
      <c r="AF625" s="2566"/>
      <c r="AG625" s="2562"/>
      <c r="AH625" s="2562"/>
      <c r="AI625" s="2566"/>
      <c r="AJ625" s="2562"/>
      <c r="AK625" s="2562"/>
      <c r="AL625" s="1994"/>
      <c r="AM625" s="1831"/>
      <c r="AN625" s="1831"/>
      <c r="AO625" s="1831"/>
      <c r="AP625" s="1831"/>
      <c r="AQ625" s="1831"/>
      <c r="AR625" s="1831"/>
      <c r="AS625" s="1831"/>
      <c r="AT625" s="1831"/>
      <c r="AU625" s="1831"/>
      <c r="AV625" s="1831"/>
      <c r="AW625" s="1831"/>
      <c r="AX625" s="1831"/>
      <c r="AY625" s="1831"/>
      <c r="AZ625" s="1831"/>
      <c r="BA625" s="1831"/>
      <c r="BB625" s="1831"/>
      <c r="BC625" s="1831"/>
      <c r="BD625" s="1831"/>
      <c r="BE625" s="1831"/>
      <c r="BF625" s="1831"/>
      <c r="BG625" s="1644"/>
    </row>
    <row customHeight="1" ht="0.75">
      <c r="A626" s="1175" t="s">
        <v>1036</v>
      </c>
      <c r="B626" s="1175"/>
      <c r="C626" s="1175"/>
      <c r="D626" s="1169"/>
      <c r="E626" s="1179"/>
      <c r="F626" s="2564"/>
      <c r="G626" s="2543"/>
      <c r="H626" s="2568"/>
      <c r="I626" s="2569"/>
      <c r="J626" s="2570"/>
      <c r="K626" s="2570"/>
      <c r="L626" s="2562"/>
      <c r="M626" s="2296"/>
      <c r="N626" s="2571"/>
      <c r="O626" s="2572"/>
      <c r="P626" s="2618"/>
      <c r="Q626" s="2567"/>
      <c r="R626" s="2567"/>
      <c r="S626" s="2567"/>
      <c r="T626" s="2567"/>
      <c r="U626" s="2567"/>
      <c r="V626" s="2567"/>
      <c r="W626" s="2567"/>
      <c r="X626" s="2567"/>
      <c r="Y626" s="2567"/>
      <c r="Z626" s="2043"/>
      <c r="AA626" s="2044"/>
      <c r="AB626" s="2051"/>
      <c r="AC626" s="2045"/>
      <c r="AD626" s="2045"/>
      <c r="AE626" s="2052"/>
      <c r="AF626" s="2566"/>
      <c r="AG626" s="2562"/>
      <c r="AH626" s="2562"/>
      <c r="AI626" s="2566"/>
      <c r="AJ626" s="2562"/>
      <c r="AK626" s="2562"/>
      <c r="AL626" s="1994"/>
      <c r="AM626" s="1831"/>
      <c r="AN626" s="1831"/>
      <c r="AO626" s="1831"/>
      <c r="AP626" s="1831"/>
      <c r="AQ626" s="1831"/>
      <c r="AR626" s="1831"/>
      <c r="AS626" s="1831"/>
      <c r="AT626" s="1831"/>
      <c r="AU626" s="1831"/>
      <c r="AV626" s="1831"/>
      <c r="AW626" s="1831"/>
      <c r="AX626" s="1831"/>
      <c r="AY626" s="1831"/>
      <c r="AZ626" s="1831"/>
      <c r="BA626" s="1831"/>
      <c r="BB626" s="1831"/>
      <c r="BC626" s="1831"/>
      <c r="BD626" s="1831"/>
      <c r="BE626" s="1831"/>
      <c r="BF626" s="1831"/>
      <c r="BG626" s="1644"/>
    </row>
    <row customHeight="1" ht="0.75">
      <c r="A627" s="1175" t="s">
        <v>1036</v>
      </c>
      <c r="B627" s="1175"/>
      <c r="C627" s="1175"/>
      <c r="D627" s="1169"/>
      <c r="E627" s="1179"/>
      <c r="F627" s="2564"/>
      <c r="G627" s="2543"/>
      <c r="H627" s="2568"/>
      <c r="I627" s="2569"/>
      <c r="J627" s="2570"/>
      <c r="K627" s="2570"/>
      <c r="L627" s="2562"/>
      <c r="M627" s="2296"/>
      <c r="N627" s="2044"/>
      <c r="O627" s="2044"/>
      <c r="P627" s="2051"/>
      <c r="Q627" s="2044"/>
      <c r="R627" s="2044"/>
      <c r="S627" s="2044"/>
      <c r="T627" s="2044"/>
      <c r="U627" s="2044"/>
      <c r="V627" s="2044"/>
      <c r="W627" s="2044"/>
      <c r="X627" s="2044"/>
      <c r="Y627" s="2044"/>
      <c r="Z627" s="2044"/>
      <c r="AA627" s="2044"/>
      <c r="AB627" s="2044"/>
      <c r="AC627" s="2044"/>
      <c r="AD627" s="2044"/>
      <c r="AE627" s="2053"/>
      <c r="AF627" s="2566"/>
      <c r="AG627" s="2562"/>
      <c r="AH627" s="2562"/>
      <c r="AI627" s="2566"/>
      <c r="AJ627" s="2562"/>
      <c r="AK627" s="2562"/>
      <c r="AL627" s="1994"/>
      <c r="AM627" s="1831"/>
      <c r="AN627" s="1831"/>
      <c r="AO627" s="1831"/>
      <c r="AP627" s="1831"/>
      <c r="AQ627" s="1831"/>
      <c r="AR627" s="1831"/>
      <c r="AS627" s="1831"/>
      <c r="AT627" s="1831"/>
      <c r="AU627" s="1831"/>
      <c r="AV627" s="1831"/>
      <c r="AW627" s="1831"/>
      <c r="AX627" s="1831"/>
      <c r="AY627" s="1831"/>
      <c r="AZ627" s="1831"/>
      <c r="BA627" s="1831"/>
      <c r="BB627" s="1831"/>
      <c r="BC627" s="1831"/>
      <c r="BD627" s="1831"/>
      <c r="BE627" s="1831"/>
      <c r="BF627" s="1831"/>
      <c r="BG627" s="1644"/>
    </row>
    <row customHeight="1" ht="12">
      <c r="A628" s="1175" t="s">
        <v>1036</v>
      </c>
      <c r="B628" s="1175"/>
      <c r="C628" s="1175"/>
      <c r="D628" s="1169"/>
      <c r="E628" s="1179"/>
      <c r="F628" s="2565"/>
      <c r="G628" s="1199"/>
      <c r="H628" s="1199"/>
      <c r="I628" s="2563" t="s">
        <v>1320</v>
      </c>
      <c r="J628" s="2563"/>
      <c r="K628" s="2563"/>
      <c r="L628" s="1182"/>
      <c r="M628" s="1182"/>
      <c r="N628" s="1183"/>
      <c r="O628" s="1183"/>
      <c r="P628" s="1183"/>
      <c r="Q628" s="1183"/>
      <c r="R628" s="1183"/>
      <c r="S628" s="1183"/>
      <c r="T628" s="1183"/>
      <c r="U628" s="1183"/>
      <c r="V628" s="1183"/>
      <c r="W628" s="1183"/>
      <c r="X628" s="1183"/>
      <c r="Y628" s="1183"/>
      <c r="Z628" s="1183"/>
      <c r="AA628" s="1183"/>
      <c r="AB628" s="1183"/>
      <c r="AC628" s="1183"/>
      <c r="AD628" s="1183"/>
      <c r="AE628" s="1183"/>
      <c r="AF628" s="1183"/>
      <c r="AG628" s="1182"/>
      <c r="AH628" s="1182"/>
      <c r="AI628" s="1183"/>
      <c r="AJ628" s="1182"/>
      <c r="AK628" s="1183"/>
      <c r="AL628" s="1994"/>
      <c r="AM628" s="1831"/>
      <c r="AN628" s="1831"/>
      <c r="AO628" s="1831"/>
      <c r="AP628" s="1831"/>
      <c r="AQ628" s="1831"/>
      <c r="AR628" s="1831"/>
      <c r="AS628" s="1831"/>
      <c r="AT628" s="1831"/>
      <c r="AU628" s="1831"/>
      <c r="AV628" s="1831"/>
      <c r="AW628" s="1831"/>
      <c r="AX628" s="1831"/>
      <c r="AY628" s="1831"/>
      <c r="AZ628" s="1831"/>
      <c r="BA628" s="1831"/>
      <c r="BB628" s="1831"/>
      <c r="BC628" s="1831"/>
      <c r="BD628" s="1831"/>
      <c r="BE628" s="1831"/>
      <c r="BF628" s="1831"/>
      <c r="BG628" s="1644"/>
    </row>
    <row customHeight="1" ht="0.75">
      <c r="A629" s="1175" t="s">
        <v>1036</v>
      </c>
      <c r="B629" s="1175"/>
      <c r="C629" s="1175"/>
      <c r="D629" s="1169"/>
      <c r="E629" s="1179"/>
      <c r="F629" s="2564">
        <v>2030</v>
      </c>
      <c r="G629" s="2543"/>
      <c r="H629" s="2568" t="s">
        <v>391</v>
      </c>
      <c r="I629" s="2569"/>
      <c r="J629" s="2570"/>
      <c r="K629" s="2570"/>
      <c r="L629" s="2562"/>
      <c r="M629" s="2296"/>
      <c r="N629" s="2042"/>
      <c r="O629" s="2041"/>
      <c r="P629" s="2042"/>
      <c r="Q629" s="2042"/>
      <c r="R629" s="2042"/>
      <c r="S629" s="2042"/>
      <c r="T629" s="2042"/>
      <c r="U629" s="2042"/>
      <c r="V629" s="2042"/>
      <c r="W629" s="2042"/>
      <c r="X629" s="2042"/>
      <c r="Y629" s="2042"/>
      <c r="Z629" s="2042"/>
      <c r="AA629" s="2042"/>
      <c r="AB629" s="2042"/>
      <c r="AC629" s="2042"/>
      <c r="AD629" s="2042"/>
      <c r="AE629" s="2042"/>
      <c r="AF629" s="2566"/>
      <c r="AG629" s="2562"/>
      <c r="AH629" s="2562"/>
      <c r="AI629" s="2566"/>
      <c r="AJ629" s="2562"/>
      <c r="AK629" s="2562"/>
      <c r="AL629" s="1994"/>
      <c r="AM629" s="1831"/>
      <c r="AN629" s="1831"/>
      <c r="AO629" s="1831"/>
      <c r="AP629" s="1831"/>
      <c r="AQ629" s="1831"/>
      <c r="AR629" s="1831"/>
      <c r="AS629" s="1831"/>
      <c r="AT629" s="1831"/>
      <c r="AU629" s="1831"/>
      <c r="AV629" s="1831"/>
      <c r="AW629" s="1831"/>
      <c r="AX629" s="1831"/>
      <c r="AY629" s="1831"/>
      <c r="AZ629" s="1831"/>
      <c r="BA629" s="1831"/>
      <c r="BB629" s="1831"/>
      <c r="BC629" s="1831"/>
      <c r="BD629" s="1831"/>
      <c r="BE629" s="1831"/>
      <c r="BF629" s="1831"/>
      <c r="BG629" s="1644"/>
    </row>
    <row customHeight="1" ht="0.75">
      <c r="A630" s="1175" t="s">
        <v>1036</v>
      </c>
      <c r="B630" s="1175"/>
      <c r="C630" s="1175"/>
      <c r="D630" s="1169"/>
      <c r="E630" s="1179"/>
      <c r="F630" s="2564"/>
      <c r="G630" s="2543"/>
      <c r="H630" s="2568"/>
      <c r="I630" s="2569"/>
      <c r="J630" s="2570"/>
      <c r="K630" s="2570"/>
      <c r="L630" s="2562"/>
      <c r="M630" s="2296"/>
      <c r="N630" s="2571"/>
      <c r="O630" s="2572"/>
      <c r="P630" s="2616"/>
      <c r="Q630" s="2567"/>
      <c r="R630" s="2567"/>
      <c r="S630" s="2567"/>
      <c r="T630" s="2567"/>
      <c r="U630" s="2567"/>
      <c r="V630" s="2567"/>
      <c r="W630" s="2567"/>
      <c r="X630" s="2567"/>
      <c r="Y630" s="2567"/>
      <c r="Z630" s="2043"/>
      <c r="AA630" s="2044"/>
      <c r="AB630" s="2044"/>
      <c r="AC630" s="2045"/>
      <c r="AD630" s="2045"/>
      <c r="AE630" s="2046"/>
      <c r="AF630" s="2566"/>
      <c r="AG630" s="2562"/>
      <c r="AH630" s="2562"/>
      <c r="AI630" s="2566"/>
      <c r="AJ630" s="2562"/>
      <c r="AK630" s="2562"/>
      <c r="AL630" s="1994"/>
      <c r="AM630" s="1831"/>
      <c r="AN630" s="1831"/>
      <c r="AO630" s="1831"/>
      <c r="AP630" s="1831"/>
      <c r="AQ630" s="1831"/>
      <c r="AR630" s="1831"/>
      <c r="AS630" s="1831"/>
      <c r="AT630" s="1831"/>
      <c r="AU630" s="1831"/>
      <c r="AV630" s="1831"/>
      <c r="AW630" s="1831"/>
      <c r="AX630" s="1831"/>
      <c r="AY630" s="1831"/>
      <c r="AZ630" s="1831"/>
      <c r="BA630" s="1831"/>
      <c r="BB630" s="1831"/>
      <c r="BC630" s="1831"/>
      <c r="BD630" s="1831"/>
      <c r="BE630" s="1831"/>
      <c r="BF630" s="1831"/>
      <c r="BG630" s="1644"/>
    </row>
    <row customHeight="1" ht="0.75">
      <c r="A631" s="1175" t="s">
        <v>1036</v>
      </c>
      <c r="B631" s="1175"/>
      <c r="C631" s="1175"/>
      <c r="D631" s="1169"/>
      <c r="E631" s="1179"/>
      <c r="F631" s="2564"/>
      <c r="G631" s="2543"/>
      <c r="H631" s="2568"/>
      <c r="I631" s="2569"/>
      <c r="J631" s="2570"/>
      <c r="K631" s="2570"/>
      <c r="L631" s="2562"/>
      <c r="M631" s="2296"/>
      <c r="N631" s="2571"/>
      <c r="O631" s="2572"/>
      <c r="P631" s="2617"/>
      <c r="Q631" s="2567"/>
      <c r="R631" s="2567"/>
      <c r="S631" s="2567"/>
      <c r="T631" s="2567"/>
      <c r="U631" s="2567"/>
      <c r="V631" s="2567"/>
      <c r="W631" s="2567"/>
      <c r="X631" s="2567"/>
      <c r="Y631" s="2567"/>
      <c r="Z631" s="2047"/>
      <c r="AA631" s="2048"/>
      <c r="AB631" s="2049"/>
      <c r="AC631" s="2050"/>
      <c r="AD631" s="2049"/>
      <c r="AE631" s="2050"/>
      <c r="AF631" s="2566"/>
      <c r="AG631" s="2562"/>
      <c r="AH631" s="2562"/>
      <c r="AI631" s="2566"/>
      <c r="AJ631" s="2562"/>
      <c r="AK631" s="2562"/>
      <c r="AL631" s="1994"/>
      <c r="AM631" s="1831"/>
      <c r="AN631" s="1831"/>
      <c r="AO631" s="1831"/>
      <c r="AP631" s="1831"/>
      <c r="AQ631" s="1831"/>
      <c r="AR631" s="1831"/>
      <c r="AS631" s="1831"/>
      <c r="AT631" s="1831"/>
      <c r="AU631" s="1831"/>
      <c r="AV631" s="1831"/>
      <c r="AW631" s="1831"/>
      <c r="AX631" s="1831"/>
      <c r="AY631" s="1831"/>
      <c r="AZ631" s="1831"/>
      <c r="BA631" s="1831"/>
      <c r="BB631" s="1831"/>
      <c r="BC631" s="1831"/>
      <c r="BD631" s="1831"/>
      <c r="BE631" s="1831"/>
      <c r="BF631" s="1831"/>
      <c r="BG631" s="1644"/>
    </row>
    <row customHeight="1" ht="0.75">
      <c r="A632" s="1175" t="s">
        <v>1036</v>
      </c>
      <c r="B632" s="1175"/>
      <c r="C632" s="1175"/>
      <c r="D632" s="1169"/>
      <c r="E632" s="1179"/>
      <c r="F632" s="2564"/>
      <c r="G632" s="2543"/>
      <c r="H632" s="2568"/>
      <c r="I632" s="2569"/>
      <c r="J632" s="2570"/>
      <c r="K632" s="2570"/>
      <c r="L632" s="2562"/>
      <c r="M632" s="2296"/>
      <c r="N632" s="2571"/>
      <c r="O632" s="2572"/>
      <c r="P632" s="2618"/>
      <c r="Q632" s="2567"/>
      <c r="R632" s="2567"/>
      <c r="S632" s="2567"/>
      <c r="T632" s="2567"/>
      <c r="U632" s="2567"/>
      <c r="V632" s="2567"/>
      <c r="W632" s="2567"/>
      <c r="X632" s="2567"/>
      <c r="Y632" s="2567"/>
      <c r="Z632" s="2043"/>
      <c r="AA632" s="2044"/>
      <c r="AB632" s="2051"/>
      <c r="AC632" s="2045"/>
      <c r="AD632" s="2045"/>
      <c r="AE632" s="2052"/>
      <c r="AF632" s="2566"/>
      <c r="AG632" s="2562"/>
      <c r="AH632" s="2562"/>
      <c r="AI632" s="2566"/>
      <c r="AJ632" s="2562"/>
      <c r="AK632" s="2562"/>
      <c r="AL632" s="1994"/>
      <c r="AM632" s="1831"/>
      <c r="AN632" s="1831"/>
      <c r="AO632" s="1831"/>
      <c r="AP632" s="1831"/>
      <c r="AQ632" s="1831"/>
      <c r="AR632" s="1831"/>
      <c r="AS632" s="1831"/>
      <c r="AT632" s="1831"/>
      <c r="AU632" s="1831"/>
      <c r="AV632" s="1831"/>
      <c r="AW632" s="1831"/>
      <c r="AX632" s="1831"/>
      <c r="AY632" s="1831"/>
      <c r="AZ632" s="1831"/>
      <c r="BA632" s="1831"/>
      <c r="BB632" s="1831"/>
      <c r="BC632" s="1831"/>
      <c r="BD632" s="1831"/>
      <c r="BE632" s="1831"/>
      <c r="BF632" s="1831"/>
      <c r="BG632" s="1644"/>
    </row>
    <row customHeight="1" ht="0.75">
      <c r="A633" s="1175" t="s">
        <v>1036</v>
      </c>
      <c r="B633" s="1175"/>
      <c r="C633" s="1175"/>
      <c r="D633" s="1169"/>
      <c r="E633" s="1179"/>
      <c r="F633" s="2564"/>
      <c r="G633" s="2543"/>
      <c r="H633" s="2568"/>
      <c r="I633" s="2569"/>
      <c r="J633" s="2570"/>
      <c r="K633" s="2570"/>
      <c r="L633" s="2562"/>
      <c r="M633" s="2296"/>
      <c r="N633" s="2044"/>
      <c r="O633" s="2044"/>
      <c r="P633" s="2051"/>
      <c r="Q633" s="2044"/>
      <c r="R633" s="2044"/>
      <c r="S633" s="2044"/>
      <c r="T633" s="2044"/>
      <c r="U633" s="2044"/>
      <c r="V633" s="2044"/>
      <c r="W633" s="2044"/>
      <c r="X633" s="2044"/>
      <c r="Y633" s="2044"/>
      <c r="Z633" s="2044"/>
      <c r="AA633" s="2044"/>
      <c r="AB633" s="2044"/>
      <c r="AC633" s="2044"/>
      <c r="AD633" s="2044"/>
      <c r="AE633" s="2053"/>
      <c r="AF633" s="2566"/>
      <c r="AG633" s="2562"/>
      <c r="AH633" s="2562"/>
      <c r="AI633" s="2566"/>
      <c r="AJ633" s="2562"/>
      <c r="AK633" s="2562"/>
      <c r="AL633" s="1994"/>
      <c r="AM633" s="1831"/>
      <c r="AN633" s="1831"/>
      <c r="AO633" s="1831"/>
      <c r="AP633" s="1831"/>
      <c r="AQ633" s="1831"/>
      <c r="AR633" s="1831"/>
      <c r="AS633" s="1831"/>
      <c r="AT633" s="1831"/>
      <c r="AU633" s="1831"/>
      <c r="AV633" s="1831"/>
      <c r="AW633" s="1831"/>
      <c r="AX633" s="1831"/>
      <c r="AY633" s="1831"/>
      <c r="AZ633" s="1831"/>
      <c r="BA633" s="1831"/>
      <c r="BB633" s="1831"/>
      <c r="BC633" s="1831"/>
      <c r="BD633" s="1831"/>
      <c r="BE633" s="1831"/>
      <c r="BF633" s="1831"/>
      <c r="BG633" s="1644"/>
    </row>
    <row customHeight="1" ht="12">
      <c r="A634" s="1175" t="s">
        <v>1036</v>
      </c>
      <c r="B634" s="1175"/>
      <c r="C634" s="1175"/>
      <c r="D634" s="1169"/>
      <c r="E634" s="1179"/>
      <c r="F634" s="2565"/>
      <c r="G634" s="1199"/>
      <c r="H634" s="1199"/>
      <c r="I634" s="2563" t="s">
        <v>1320</v>
      </c>
      <c r="J634" s="2563"/>
      <c r="K634" s="2563"/>
      <c r="L634" s="1182"/>
      <c r="M634" s="1182"/>
      <c r="N634" s="1183"/>
      <c r="O634" s="1183"/>
      <c r="P634" s="1183"/>
      <c r="Q634" s="1183"/>
      <c r="R634" s="1183"/>
      <c r="S634" s="1183"/>
      <c r="T634" s="1183"/>
      <c r="U634" s="1183"/>
      <c r="V634" s="1183"/>
      <c r="W634" s="1183"/>
      <c r="X634" s="1183"/>
      <c r="Y634" s="1183"/>
      <c r="Z634" s="1183"/>
      <c r="AA634" s="1183"/>
      <c r="AB634" s="1183"/>
      <c r="AC634" s="1183"/>
      <c r="AD634" s="1183"/>
      <c r="AE634" s="1183"/>
      <c r="AF634" s="1183"/>
      <c r="AG634" s="1182"/>
      <c r="AH634" s="1182"/>
      <c r="AI634" s="1183"/>
      <c r="AJ634" s="1182"/>
      <c r="AK634" s="1183"/>
      <c r="AL634" s="1994"/>
      <c r="AM634" s="1831"/>
      <c r="AN634" s="1831"/>
      <c r="AO634" s="1831"/>
      <c r="AP634" s="1831"/>
      <c r="AQ634" s="1831"/>
      <c r="AR634" s="1831"/>
      <c r="AS634" s="1831"/>
      <c r="AT634" s="1831"/>
      <c r="AU634" s="1831"/>
      <c r="AV634" s="1831"/>
      <c r="AW634" s="1831"/>
      <c r="AX634" s="1831"/>
      <c r="AY634" s="1831"/>
      <c r="AZ634" s="1831"/>
      <c r="BA634" s="1831"/>
      <c r="BB634" s="1831"/>
      <c r="BC634" s="1831"/>
      <c r="BD634" s="1831"/>
      <c r="BE634" s="1831"/>
      <c r="BF634" s="1831"/>
      <c r="BG634" s="1644"/>
    </row>
    <row customHeight="1" ht="10.5">
      <c r="E635" s="916"/>
      <c r="F635" s="927"/>
      <c r="G635" s="927"/>
      <c r="H635" s="1181"/>
      <c r="I635" s="927"/>
      <c r="J635" s="927"/>
      <c r="K635" s="927"/>
      <c r="L635" s="1140"/>
      <c r="M635" s="1140"/>
      <c r="N635" s="927"/>
      <c r="O635" s="927"/>
      <c r="P635" s="927"/>
      <c r="Q635" s="927"/>
      <c r="R635" s="927"/>
      <c r="S635" s="927"/>
      <c r="T635" s="927"/>
      <c r="U635" s="927"/>
      <c r="V635" s="927"/>
      <c r="W635" s="927"/>
      <c r="X635" s="927"/>
      <c r="Y635" s="927"/>
      <c r="Z635" s="927"/>
      <c r="AA635" s="927"/>
      <c r="AB635" s="927"/>
      <c r="AC635" s="927"/>
      <c r="AD635" s="1140"/>
      <c r="AE635" s="927"/>
      <c r="AF635" s="927"/>
      <c r="AG635" s="927"/>
      <c r="AH635" s="1158"/>
      <c r="AI635" s="1151"/>
      <c r="AJ635" s="927"/>
      <c r="AK635" s="927"/>
      <c r="AL635" s="916"/>
      <c r="AM635" s="916"/>
      <c r="AN635" s="916"/>
      <c r="AO635" s="916"/>
      <c r="AP635" s="916"/>
      <c r="AQ635" s="916"/>
      <c r="AR635" s="916"/>
      <c r="AS635" s="916"/>
      <c r="AT635" s="916"/>
      <c r="AU635" s="916"/>
      <c r="AV635" s="916"/>
      <c r="AW635" s="916"/>
      <c r="AX635" s="916"/>
      <c r="AY635" s="916"/>
      <c r="AZ635" s="916"/>
      <c r="BA635" s="916"/>
      <c r="BB635" s="916"/>
      <c r="BC635" s="916"/>
      <c r="BD635" s="916"/>
      <c r="BE635" s="916"/>
      <c r="BF635" s="916"/>
      <c r="BG635" s="767">
        <v>10</v>
      </c>
    </row>
    <row customHeight="1" ht="13.5">
      <c r="E636" s="916"/>
      <c r="F636" s="923" t="s">
        <v>1321</v>
      </c>
      <c r="G636" s="923"/>
      <c r="H636" s="1180"/>
      <c r="I636" s="923"/>
      <c r="J636" s="923"/>
      <c r="K636" s="920"/>
      <c r="L636" s="1136"/>
      <c r="M636" s="1136"/>
      <c r="N636" s="922"/>
      <c r="O636" s="922"/>
      <c r="P636" s="922"/>
      <c r="Q636" s="922"/>
      <c r="R636" s="922"/>
      <c r="S636" s="922"/>
      <c r="T636" s="922"/>
      <c r="U636" s="922"/>
      <c r="V636" s="922"/>
      <c r="W636" s="922"/>
      <c r="X636" s="922"/>
      <c r="Y636" s="922"/>
      <c r="Z636" s="920"/>
      <c r="AA636" s="920"/>
      <c r="AB636" s="920"/>
      <c r="AC636" s="920"/>
      <c r="AD636" s="1136"/>
      <c r="AE636" s="920"/>
      <c r="AF636" s="920"/>
      <c r="AG636" s="920"/>
      <c r="AH636" s="1155"/>
      <c r="AI636" s="1148"/>
      <c r="AJ636" s="920"/>
      <c r="AK636" s="920"/>
      <c r="AL636" s="916"/>
      <c r="AM636" s="916"/>
      <c r="AN636" s="916"/>
      <c r="AO636" s="916"/>
      <c r="AP636" s="916"/>
      <c r="AQ636" s="916"/>
      <c r="AR636" s="916"/>
      <c r="AS636" s="916"/>
      <c r="AT636" s="916"/>
      <c r="AU636" s="916"/>
      <c r="AV636" s="916"/>
      <c r="AW636" s="916"/>
      <c r="AX636" s="916"/>
      <c r="AY636" s="916"/>
      <c r="AZ636" s="916"/>
      <c r="BA636" s="916"/>
      <c r="BB636" s="916"/>
      <c r="BC636" s="916"/>
      <c r="BD636" s="916"/>
      <c r="BE636" s="916"/>
      <c r="BF636" s="916"/>
      <c r="BG636" s="767">
        <v>13</v>
      </c>
    </row>
    <row customHeight="1" ht="10.5">
      <c r="BG637" s="767">
        <v>10</v>
      </c>
    </row>
    <row customHeight="1" ht="10.5">
      <c r="E638" s="916"/>
      <c r="F638" s="2435"/>
      <c r="G638" s="2435"/>
      <c r="H638" s="2435"/>
      <c r="I638" s="2435"/>
      <c r="J638" s="2435"/>
      <c r="K638" s="920"/>
      <c r="L638" s="1136"/>
      <c r="M638" s="1136"/>
      <c r="N638" s="922"/>
      <c r="O638" s="922"/>
      <c r="P638" s="922"/>
      <c r="Q638" s="922"/>
      <c r="R638" s="922"/>
      <c r="S638" s="922"/>
      <c r="T638" s="922"/>
      <c r="U638" s="922"/>
      <c r="V638" s="922"/>
      <c r="W638" s="922"/>
      <c r="X638" s="922"/>
      <c r="Y638" s="922"/>
      <c r="Z638" s="920"/>
      <c r="AA638" s="920"/>
      <c r="AB638" s="920"/>
      <c r="AC638" s="920"/>
      <c r="AD638" s="1136"/>
      <c r="AE638" s="920"/>
      <c r="AF638" s="920"/>
      <c r="AG638" s="920"/>
      <c r="AH638" s="1155"/>
      <c r="AI638" s="1148"/>
      <c r="AJ638" s="920"/>
      <c r="AK638" s="920"/>
      <c r="AL638" s="916"/>
      <c r="AM638" s="916"/>
      <c r="AN638" s="916"/>
      <c r="AO638" s="916"/>
      <c r="AP638" s="916"/>
      <c r="AQ638" s="916"/>
      <c r="AR638" s="916"/>
      <c r="AS638" s="916"/>
      <c r="AT638" s="916"/>
      <c r="AU638" s="916"/>
      <c r="AV638" s="916"/>
      <c r="AW638" s="916"/>
      <c r="AX638" s="916"/>
      <c r="AY638" s="916"/>
      <c r="AZ638" s="916"/>
      <c r="BA638" s="916"/>
      <c r="BB638" s="916"/>
      <c r="BC638" s="916"/>
      <c r="BD638" s="916"/>
      <c r="BE638" s="916"/>
      <c r="BF638" s="916"/>
      <c r="BG638" s="767">
        <v>10</v>
      </c>
    </row>
    <row customHeight="1" ht="10.5">
      <c r="E639" s="916"/>
      <c r="F639" s="2435"/>
      <c r="G639" s="2435"/>
      <c r="H639" s="2435"/>
      <c r="I639" s="2435"/>
      <c r="J639" s="2435"/>
      <c r="K639" s="920"/>
      <c r="L639" s="1136"/>
      <c r="M639" s="1136"/>
      <c r="N639" s="922"/>
      <c r="O639" s="922"/>
      <c r="P639" s="922"/>
      <c r="Q639" s="922"/>
      <c r="R639" s="922"/>
      <c r="S639" s="922"/>
      <c r="T639" s="922"/>
      <c r="U639" s="922"/>
      <c r="V639" s="922"/>
      <c r="W639" s="922"/>
      <c r="X639" s="922"/>
      <c r="Y639" s="922"/>
      <c r="Z639" s="920"/>
      <c r="AA639" s="920"/>
      <c r="AB639" s="920"/>
      <c r="AC639" s="920"/>
      <c r="AD639" s="1136"/>
      <c r="AE639" s="920"/>
      <c r="AF639" s="920"/>
      <c r="AG639" s="920"/>
      <c r="AH639" s="1155"/>
      <c r="AI639" s="1148"/>
      <c r="AJ639" s="920"/>
      <c r="AK639" s="920"/>
      <c r="AL639" s="916"/>
      <c r="AM639" s="916"/>
      <c r="AN639" s="916"/>
      <c r="AO639" s="916"/>
      <c r="AP639" s="916"/>
      <c r="AQ639" s="916"/>
      <c r="AR639" s="916"/>
      <c r="AS639" s="916"/>
      <c r="AT639" s="916"/>
      <c r="AU639" s="916"/>
      <c r="AV639" s="916"/>
      <c r="AW639" s="916"/>
      <c r="AX639" s="916"/>
      <c r="AY639" s="916"/>
      <c r="AZ639" s="916"/>
      <c r="BA639" s="916"/>
      <c r="BB639" s="916"/>
      <c r="BC639" s="916"/>
      <c r="BD639" s="916"/>
      <c r="BE639" s="916"/>
      <c r="BF639" s="916"/>
      <c r="BG639" s="767">
        <v>10</v>
      </c>
    </row>
    <row customHeight="1" ht="10.5">
      <c r="E640" s="916"/>
      <c r="F640" s="2435"/>
      <c r="G640" s="2435"/>
      <c r="H640" s="2435"/>
      <c r="I640" s="2435"/>
      <c r="J640" s="2435"/>
      <c r="K640" s="920"/>
      <c r="L640" s="1136"/>
      <c r="M640" s="1136"/>
      <c r="N640" s="922"/>
      <c r="O640" s="922"/>
      <c r="P640" s="922"/>
      <c r="Q640" s="922"/>
      <c r="R640" s="922"/>
      <c r="S640" s="922"/>
      <c r="T640" s="922"/>
      <c r="U640" s="922"/>
      <c r="V640" s="922"/>
      <c r="W640" s="922"/>
      <c r="X640" s="922"/>
      <c r="Y640" s="922"/>
      <c r="Z640" s="920"/>
      <c r="AA640" s="920"/>
      <c r="AB640" s="920"/>
      <c r="AC640" s="920"/>
      <c r="AD640" s="1136"/>
      <c r="AE640" s="920"/>
      <c r="AF640" s="920"/>
      <c r="AG640" s="920"/>
      <c r="AH640" s="1155"/>
      <c r="AI640" s="1148"/>
      <c r="AJ640" s="920"/>
      <c r="AK640" s="920"/>
      <c r="AL640" s="916"/>
      <c r="AM640" s="916"/>
      <c r="AN640" s="916"/>
      <c r="AO640" s="916"/>
      <c r="AP640" s="916"/>
      <c r="AQ640" s="916"/>
      <c r="AR640" s="916"/>
      <c r="AS640" s="916"/>
      <c r="AT640" s="916"/>
      <c r="AU640" s="916"/>
      <c r="AV640" s="916"/>
      <c r="AW640" s="916"/>
      <c r="AX640" s="916"/>
      <c r="AY640" s="916"/>
      <c r="AZ640" s="916"/>
      <c r="BA640" s="916"/>
      <c r="BB640" s="916"/>
      <c r="BC640" s="916"/>
      <c r="BD640" s="916"/>
      <c r="BE640" s="916"/>
      <c r="BF640" s="916"/>
      <c r="BG640" s="767">
        <v>10</v>
      </c>
    </row>
    <row customHeight="1" ht="10.5" hidden="1">
      <c r="A641" s="904" t="s">
        <v>83</v>
      </c>
      <c r="B641" s="904">
        <v>0</v>
      </c>
      <c r="C641" s="904">
        <v>0</v>
      </c>
      <c r="D641" s="426">
        <v>0</v>
      </c>
      <c r="E641" s="518">
        <v>3</v>
      </c>
      <c r="F641" s="767">
        <v>14</v>
      </c>
      <c r="G641" s="767">
        <v>3</v>
      </c>
      <c r="H641" s="1164">
        <v>7</v>
      </c>
      <c r="I641" s="767">
        <v>16</v>
      </c>
      <c r="J641" s="767">
        <v>16</v>
      </c>
      <c r="K641" s="767">
        <v>25</v>
      </c>
      <c r="L641" s="1134">
        <v>7</v>
      </c>
      <c r="M641" s="1134">
        <v>15</v>
      </c>
      <c r="N641" s="767">
        <v>3</v>
      </c>
      <c r="O641" s="767">
        <v>4</v>
      </c>
      <c r="P641" s="767">
        <v>8</v>
      </c>
      <c r="Q641" s="767">
        <v>21</v>
      </c>
      <c r="R641" s="767">
        <v>14</v>
      </c>
      <c r="S641" s="767">
        <v>17</v>
      </c>
      <c r="T641" s="767">
        <v>17</v>
      </c>
      <c r="U641" s="767">
        <v>9</v>
      </c>
      <c r="V641" s="767">
        <v>12</v>
      </c>
      <c r="W641" s="767">
        <v>9</v>
      </c>
      <c r="X641" s="767">
        <v>21</v>
      </c>
      <c r="Y641" s="767">
        <v>12</v>
      </c>
      <c r="Z641" s="767">
        <v>3</v>
      </c>
      <c r="AA641" s="767">
        <v>6</v>
      </c>
      <c r="AB641" s="767">
        <v>38</v>
      </c>
      <c r="AC641" s="767">
        <v>15</v>
      </c>
      <c r="AD641" s="1134">
        <v>0</v>
      </c>
      <c r="AE641" s="767">
        <v>0</v>
      </c>
      <c r="AF641" s="767">
        <v>16</v>
      </c>
      <c r="AG641" s="767">
        <v>16</v>
      </c>
      <c r="AH641" s="1153">
        <v>16</v>
      </c>
      <c r="AI641" s="1146">
        <v>0</v>
      </c>
      <c r="AJ641" s="767">
        <v>0</v>
      </c>
      <c r="AK641" s="767">
        <v>0</v>
      </c>
      <c r="AL641" s="767">
        <v>8</v>
      </c>
      <c r="AM641" s="767">
        <v>8</v>
      </c>
      <c r="AN641" s="767">
        <v>8</v>
      </c>
      <c r="AO641" s="767">
        <v>8</v>
      </c>
      <c r="AP641" s="767">
        <v>8</v>
      </c>
      <c r="AQ641" s="767">
        <v>8</v>
      </c>
      <c r="AR641" s="767">
        <v>8</v>
      </c>
      <c r="AS641" s="767">
        <v>8</v>
      </c>
      <c r="AT641" s="767">
        <v>8</v>
      </c>
      <c r="AU641" s="767">
        <v>8</v>
      </c>
      <c r="AV641" s="767">
        <v>8</v>
      </c>
      <c r="AW641" s="767">
        <v>8</v>
      </c>
      <c r="AX641" s="767">
        <v>8</v>
      </c>
      <c r="AY641" s="767">
        <v>8</v>
      </c>
      <c r="AZ641" s="767">
        <v>8</v>
      </c>
      <c r="BA641" s="767">
        <v>8</v>
      </c>
      <c r="BB641" s="767">
        <v>8</v>
      </c>
      <c r="BC641" s="767">
        <v>8</v>
      </c>
      <c r="BD641" s="767">
        <v>8</v>
      </c>
      <c r="BE641" s="767">
        <v>8</v>
      </c>
      <c r="BF641" s="767">
        <v>8</v>
      </c>
      <c r="BG641" s="767">
        <v>10</v>
      </c>
    </row>
  </sheetData>
  <sheetProtection sheet="1" formatColumns="0" formatRows="0" autoFilter="0" sort="1" insertRows="1" insertColumns="1" deleteRows="1" deleteColumns="1"/>
  <mergeCells count="2815">
    <mergeCell ref="AB9:AE10"/>
    <mergeCell ref="S11:Y11"/>
    <mergeCell ref="N10:Y10"/>
    <mergeCell ref="K9:Y9"/>
    <mergeCell ref="N11:O12"/>
    <mergeCell ref="P11:P12"/>
    <mergeCell ref="Q11:Q12"/>
    <mergeCell ref="F640:J640"/>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639:J639"/>
    <mergeCell ref="F638:J638"/>
    <mergeCell ref="F5:K5"/>
    <mergeCell ref="P16:P18"/>
    <mergeCell ref="Q16:Q18"/>
    <mergeCell ref="R16:R18"/>
    <mergeCell ref="G15:G19"/>
    <mergeCell ref="AJ15:AJ19"/>
    <mergeCell ref="AK15:AK19"/>
    <mergeCell ref="I604:K604"/>
    <mergeCell ref="F15:F604"/>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606:P608"/>
    <mergeCell ref="Q606:Q608"/>
    <mergeCell ref="R606:R608"/>
    <mergeCell ref="G605:G609"/>
    <mergeCell ref="AJ605:AJ609"/>
    <mergeCell ref="AK605:AK609"/>
    <mergeCell ref="I610:K610"/>
    <mergeCell ref="F605:F610"/>
    <mergeCell ref="AF605:AF609"/>
    <mergeCell ref="AG605:AG609"/>
    <mergeCell ref="AH605:AH609"/>
    <mergeCell ref="AI605:AI609"/>
    <mergeCell ref="S606:S608"/>
    <mergeCell ref="T606:T608"/>
    <mergeCell ref="U606:U608"/>
    <mergeCell ref="V606:V608"/>
    <mergeCell ref="W606:W608"/>
    <mergeCell ref="X606:X608"/>
    <mergeCell ref="Y606:Y608"/>
    <mergeCell ref="H605:H609"/>
    <mergeCell ref="I605:I609"/>
    <mergeCell ref="J605:J609"/>
    <mergeCell ref="K605:K609"/>
    <mergeCell ref="L605:L609"/>
    <mergeCell ref="M605:M609"/>
    <mergeCell ref="N606:N608"/>
    <mergeCell ref="O606:O608"/>
    <mergeCell ref="P612:P614"/>
    <mergeCell ref="Q612:Q614"/>
    <mergeCell ref="R612:R614"/>
    <mergeCell ref="G611:G615"/>
    <mergeCell ref="AJ611:AJ615"/>
    <mergeCell ref="AK611:AK615"/>
    <mergeCell ref="I616:K616"/>
    <mergeCell ref="F611:F616"/>
    <mergeCell ref="AF611:AF615"/>
    <mergeCell ref="AG611:AG615"/>
    <mergeCell ref="AH611:AH615"/>
    <mergeCell ref="AI611:AI615"/>
    <mergeCell ref="S612:S614"/>
    <mergeCell ref="T612:T614"/>
    <mergeCell ref="U612:U614"/>
    <mergeCell ref="V612:V614"/>
    <mergeCell ref="W612:W614"/>
    <mergeCell ref="X612:X614"/>
    <mergeCell ref="Y612:Y614"/>
    <mergeCell ref="H611:H615"/>
    <mergeCell ref="I611:I615"/>
    <mergeCell ref="J611:J615"/>
    <mergeCell ref="K611:K615"/>
    <mergeCell ref="L611:L615"/>
    <mergeCell ref="M611:M615"/>
    <mergeCell ref="N612:N614"/>
    <mergeCell ref="O612:O614"/>
    <mergeCell ref="P618:P620"/>
    <mergeCell ref="Q618:Q620"/>
    <mergeCell ref="R618:R620"/>
    <mergeCell ref="G617:G621"/>
    <mergeCell ref="AJ617:AJ621"/>
    <mergeCell ref="AK617:AK621"/>
    <mergeCell ref="I622:K622"/>
    <mergeCell ref="F617:F622"/>
    <mergeCell ref="AF617:AF621"/>
    <mergeCell ref="AG617:AG621"/>
    <mergeCell ref="AH617:AH621"/>
    <mergeCell ref="AI617:AI621"/>
    <mergeCell ref="S618:S620"/>
    <mergeCell ref="T618:T620"/>
    <mergeCell ref="U618:U620"/>
    <mergeCell ref="V618:V620"/>
    <mergeCell ref="W618:W620"/>
    <mergeCell ref="X618:X620"/>
    <mergeCell ref="Y618:Y620"/>
    <mergeCell ref="H617:H621"/>
    <mergeCell ref="I617:I621"/>
    <mergeCell ref="J617:J621"/>
    <mergeCell ref="K617:K621"/>
    <mergeCell ref="L617:L621"/>
    <mergeCell ref="M617:M621"/>
    <mergeCell ref="N618:N620"/>
    <mergeCell ref="O618:O620"/>
    <mergeCell ref="P624:P626"/>
    <mergeCell ref="Q624:Q626"/>
    <mergeCell ref="R624:R626"/>
    <mergeCell ref="G623:G627"/>
    <mergeCell ref="AJ623:AJ627"/>
    <mergeCell ref="AK623:AK627"/>
    <mergeCell ref="I628:K628"/>
    <mergeCell ref="F623:F628"/>
    <mergeCell ref="AF623:AF627"/>
    <mergeCell ref="AG623:AG627"/>
    <mergeCell ref="AH623:AH627"/>
    <mergeCell ref="AI623:AI627"/>
    <mergeCell ref="S624:S626"/>
    <mergeCell ref="T624:T626"/>
    <mergeCell ref="U624:U626"/>
    <mergeCell ref="V624:V626"/>
    <mergeCell ref="W624:W626"/>
    <mergeCell ref="X624:X626"/>
    <mergeCell ref="Y624:Y626"/>
    <mergeCell ref="H623:H627"/>
    <mergeCell ref="I623:I627"/>
    <mergeCell ref="J623:J627"/>
    <mergeCell ref="K623:K627"/>
    <mergeCell ref="L623:L627"/>
    <mergeCell ref="M623:M627"/>
    <mergeCell ref="N624:N626"/>
    <mergeCell ref="O624:O626"/>
    <mergeCell ref="P630:P632"/>
    <mergeCell ref="Q630:Q632"/>
    <mergeCell ref="R630:R632"/>
    <mergeCell ref="G629:G633"/>
    <mergeCell ref="AJ629:AJ633"/>
    <mergeCell ref="AK629:AK633"/>
    <mergeCell ref="I634:K634"/>
    <mergeCell ref="F629:F634"/>
    <mergeCell ref="AF629:AF633"/>
    <mergeCell ref="AG629:AG633"/>
    <mergeCell ref="AH629:AH633"/>
    <mergeCell ref="AI629:AI633"/>
    <mergeCell ref="S630:S632"/>
    <mergeCell ref="T630:T632"/>
    <mergeCell ref="U630:U632"/>
    <mergeCell ref="V630:V632"/>
    <mergeCell ref="W630:W632"/>
    <mergeCell ref="X630:X632"/>
    <mergeCell ref="Y630:Y632"/>
    <mergeCell ref="H629:H633"/>
    <mergeCell ref="I629:I633"/>
    <mergeCell ref="J629:J633"/>
    <mergeCell ref="K629:K633"/>
    <mergeCell ref="L629:L633"/>
    <mergeCell ref="M629:M633"/>
    <mergeCell ref="N630:N632"/>
    <mergeCell ref="O630:O632"/>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40"/>
    <mergeCell ref="I35:I40"/>
    <mergeCell ref="J35:J40"/>
    <mergeCell ref="K35:K40"/>
    <mergeCell ref="L35:L40"/>
    <mergeCell ref="M35:M40"/>
    <mergeCell ref="AF35:AF40"/>
    <mergeCell ref="AG35:AG40"/>
    <mergeCell ref="AH35:AH40"/>
    <mergeCell ref="AI35:AI40"/>
    <mergeCell ref="AJ35:AJ40"/>
    <mergeCell ref="AK35:AK40"/>
    <mergeCell ref="N36:N39"/>
    <mergeCell ref="O36:O39"/>
    <mergeCell ref="P36:P39"/>
    <mergeCell ref="Q36:Q39"/>
    <mergeCell ref="R36:R39"/>
    <mergeCell ref="S36:S39"/>
    <mergeCell ref="T36:T39"/>
    <mergeCell ref="U36:U39"/>
    <mergeCell ref="V36:V39"/>
    <mergeCell ref="W36:W39"/>
    <mergeCell ref="X36:X39"/>
    <mergeCell ref="Y36:Y39"/>
    <mergeCell ref="G35:G4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46:H50"/>
    <mergeCell ref="I46:I50"/>
    <mergeCell ref="J46:J50"/>
    <mergeCell ref="K46:K50"/>
    <mergeCell ref="L46:L50"/>
    <mergeCell ref="M46:M50"/>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51: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0"/>
    <mergeCell ref="I96:I100"/>
    <mergeCell ref="J96:J100"/>
    <mergeCell ref="K96:K100"/>
    <mergeCell ref="L96:L100"/>
    <mergeCell ref="M96:M100"/>
    <mergeCell ref="AF96:AF100"/>
    <mergeCell ref="AG96:AG100"/>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G96:G100"/>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G101:G105"/>
    <mergeCell ref="H106:H110"/>
    <mergeCell ref="I106:I110"/>
    <mergeCell ref="J106:J110"/>
    <mergeCell ref="K106:K110"/>
    <mergeCell ref="L106:L110"/>
    <mergeCell ref="M106:M110"/>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G106:G110"/>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21:G125"/>
    <mergeCell ref="H126:H131"/>
    <mergeCell ref="I126:I131"/>
    <mergeCell ref="J126:J131"/>
    <mergeCell ref="K126:K131"/>
    <mergeCell ref="L126:L131"/>
    <mergeCell ref="M126:M131"/>
    <mergeCell ref="AF126:AF131"/>
    <mergeCell ref="AG126:AG131"/>
    <mergeCell ref="AH126:AH131"/>
    <mergeCell ref="AI126:AI131"/>
    <mergeCell ref="AJ126:AJ131"/>
    <mergeCell ref="AK126:AK131"/>
    <mergeCell ref="N127:N130"/>
    <mergeCell ref="O127:O130"/>
    <mergeCell ref="P127:P130"/>
    <mergeCell ref="Q127:Q130"/>
    <mergeCell ref="R127:R130"/>
    <mergeCell ref="S127:S130"/>
    <mergeCell ref="T127:T130"/>
    <mergeCell ref="U127:U130"/>
    <mergeCell ref="V127:V130"/>
    <mergeCell ref="W127:W130"/>
    <mergeCell ref="X127:X130"/>
    <mergeCell ref="Y127:Y130"/>
    <mergeCell ref="G126:G131"/>
    <mergeCell ref="H132:H137"/>
    <mergeCell ref="I132:I137"/>
    <mergeCell ref="J132:J137"/>
    <mergeCell ref="K132:K137"/>
    <mergeCell ref="L132:L137"/>
    <mergeCell ref="M132:M137"/>
    <mergeCell ref="AF132:AF137"/>
    <mergeCell ref="AG132:AG137"/>
    <mergeCell ref="AH132:AH137"/>
    <mergeCell ref="AI132:AI137"/>
    <mergeCell ref="AJ132:AJ137"/>
    <mergeCell ref="AK132:AK137"/>
    <mergeCell ref="N133:N136"/>
    <mergeCell ref="O133:O136"/>
    <mergeCell ref="P133:P136"/>
    <mergeCell ref="Q133:Q136"/>
    <mergeCell ref="R133:R136"/>
    <mergeCell ref="S133:S136"/>
    <mergeCell ref="T133:T136"/>
    <mergeCell ref="U133:U136"/>
    <mergeCell ref="V133:V136"/>
    <mergeCell ref="W133:W136"/>
    <mergeCell ref="X133:X136"/>
    <mergeCell ref="Y133:Y136"/>
    <mergeCell ref="G132:G137"/>
    <mergeCell ref="H138:H143"/>
    <mergeCell ref="I138:I143"/>
    <mergeCell ref="J138:J143"/>
    <mergeCell ref="K138:K143"/>
    <mergeCell ref="L138:L143"/>
    <mergeCell ref="M138:M143"/>
    <mergeCell ref="AF138:AF143"/>
    <mergeCell ref="AG138:AG143"/>
    <mergeCell ref="AH138:AH143"/>
    <mergeCell ref="AI138:AI143"/>
    <mergeCell ref="AJ138:AJ143"/>
    <mergeCell ref="AK138:AK143"/>
    <mergeCell ref="N139:N142"/>
    <mergeCell ref="O139:O142"/>
    <mergeCell ref="P139:P142"/>
    <mergeCell ref="Q139:Q142"/>
    <mergeCell ref="R139:R142"/>
    <mergeCell ref="S139:S142"/>
    <mergeCell ref="T139:T142"/>
    <mergeCell ref="U139:U142"/>
    <mergeCell ref="V139:V142"/>
    <mergeCell ref="W139:W142"/>
    <mergeCell ref="X139:X142"/>
    <mergeCell ref="Y139:Y142"/>
    <mergeCell ref="G138: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49:H154"/>
    <mergeCell ref="I149:I154"/>
    <mergeCell ref="J149:J154"/>
    <mergeCell ref="K149:K154"/>
    <mergeCell ref="L149:L154"/>
    <mergeCell ref="M149:M154"/>
    <mergeCell ref="AF149:AF154"/>
    <mergeCell ref="AG149:AG154"/>
    <mergeCell ref="AH149:AH154"/>
    <mergeCell ref="AI149:AI154"/>
    <mergeCell ref="AJ149:AJ154"/>
    <mergeCell ref="AK149:AK154"/>
    <mergeCell ref="N150:N153"/>
    <mergeCell ref="O150:O153"/>
    <mergeCell ref="P150:P153"/>
    <mergeCell ref="Q150:Q153"/>
    <mergeCell ref="R150:R153"/>
    <mergeCell ref="S150:S153"/>
    <mergeCell ref="T150:T153"/>
    <mergeCell ref="U150:U153"/>
    <mergeCell ref="V150:V153"/>
    <mergeCell ref="W150:W153"/>
    <mergeCell ref="X150:X153"/>
    <mergeCell ref="Y150:Y153"/>
    <mergeCell ref="G149:G154"/>
    <mergeCell ref="H155:H159"/>
    <mergeCell ref="I155:I159"/>
    <mergeCell ref="J155:J159"/>
    <mergeCell ref="K155:K159"/>
    <mergeCell ref="L155:L159"/>
    <mergeCell ref="M155:M159"/>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W156:W158"/>
    <mergeCell ref="X156:X158"/>
    <mergeCell ref="Y156:Y158"/>
    <mergeCell ref="G155:G159"/>
    <mergeCell ref="H160:H165"/>
    <mergeCell ref="I160:I165"/>
    <mergeCell ref="J160:J165"/>
    <mergeCell ref="K160:K165"/>
    <mergeCell ref="L160:L165"/>
    <mergeCell ref="M160:M165"/>
    <mergeCell ref="AF160:AF165"/>
    <mergeCell ref="AG160:AG165"/>
    <mergeCell ref="AH160:AH165"/>
    <mergeCell ref="AI160:AI165"/>
    <mergeCell ref="AJ160:AJ165"/>
    <mergeCell ref="AK160:AK165"/>
    <mergeCell ref="N161:N164"/>
    <mergeCell ref="O161:O164"/>
    <mergeCell ref="P161:P164"/>
    <mergeCell ref="Q161:Q164"/>
    <mergeCell ref="R161:R164"/>
    <mergeCell ref="S161:S164"/>
    <mergeCell ref="T161:T164"/>
    <mergeCell ref="U161:U164"/>
    <mergeCell ref="V161:V164"/>
    <mergeCell ref="W161:W164"/>
    <mergeCell ref="X161:X164"/>
    <mergeCell ref="Y161:Y164"/>
    <mergeCell ref="G160: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G186:G190"/>
    <mergeCell ref="H191:H195"/>
    <mergeCell ref="I191:I195"/>
    <mergeCell ref="J191:J195"/>
    <mergeCell ref="K191:K195"/>
    <mergeCell ref="L191:L195"/>
    <mergeCell ref="M191:M195"/>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196:H200"/>
    <mergeCell ref="I196:I200"/>
    <mergeCell ref="J196:J200"/>
    <mergeCell ref="K196:K200"/>
    <mergeCell ref="L196:L200"/>
    <mergeCell ref="M196:M200"/>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G196:G200"/>
    <mergeCell ref="H201:H205"/>
    <mergeCell ref="I201:I205"/>
    <mergeCell ref="J201:J205"/>
    <mergeCell ref="K201:K205"/>
    <mergeCell ref="L201:L205"/>
    <mergeCell ref="M201:M205"/>
    <mergeCell ref="AF201:AF205"/>
    <mergeCell ref="AG201:AG205"/>
    <mergeCell ref="AH201:AH205"/>
    <mergeCell ref="AI201:AI205"/>
    <mergeCell ref="AJ201:AJ205"/>
    <mergeCell ref="AK201:AK205"/>
    <mergeCell ref="N202:N204"/>
    <mergeCell ref="O202:O204"/>
    <mergeCell ref="P202:P204"/>
    <mergeCell ref="Q202:Q204"/>
    <mergeCell ref="R202:R204"/>
    <mergeCell ref="S202:S204"/>
    <mergeCell ref="T202:T204"/>
    <mergeCell ref="U202:U204"/>
    <mergeCell ref="V202:V204"/>
    <mergeCell ref="W202:W204"/>
    <mergeCell ref="X202:X204"/>
    <mergeCell ref="Y202:Y204"/>
    <mergeCell ref="G201:G205"/>
    <mergeCell ref="H206:H212"/>
    <mergeCell ref="I206:I212"/>
    <mergeCell ref="J206:J212"/>
    <mergeCell ref="K206:K212"/>
    <mergeCell ref="L206:L212"/>
    <mergeCell ref="M206:M212"/>
    <mergeCell ref="AF206:AF212"/>
    <mergeCell ref="AG206:AG212"/>
    <mergeCell ref="AH206:AH212"/>
    <mergeCell ref="AI206:AI212"/>
    <mergeCell ref="AJ206:AJ212"/>
    <mergeCell ref="AK206:AK212"/>
    <mergeCell ref="N207:N211"/>
    <mergeCell ref="O207:O211"/>
    <mergeCell ref="P207:P211"/>
    <mergeCell ref="Q207:Q211"/>
    <mergeCell ref="R207:R211"/>
    <mergeCell ref="S207:S211"/>
    <mergeCell ref="T207:T211"/>
    <mergeCell ref="U207:U211"/>
    <mergeCell ref="V207:V211"/>
    <mergeCell ref="W207:W211"/>
    <mergeCell ref="X207:X211"/>
    <mergeCell ref="Y207:Y211"/>
    <mergeCell ref="G206:G212"/>
    <mergeCell ref="H213:H217"/>
    <mergeCell ref="I213:I217"/>
    <mergeCell ref="J213:J217"/>
    <mergeCell ref="K213:K217"/>
    <mergeCell ref="L213:L217"/>
    <mergeCell ref="M213:M217"/>
    <mergeCell ref="AF213:AF217"/>
    <mergeCell ref="AG213:AG217"/>
    <mergeCell ref="AH213:AH217"/>
    <mergeCell ref="AI213:AI217"/>
    <mergeCell ref="AJ213:AJ217"/>
    <mergeCell ref="AK213:AK217"/>
    <mergeCell ref="N214:N216"/>
    <mergeCell ref="O214:O216"/>
    <mergeCell ref="P214:P216"/>
    <mergeCell ref="Q214:Q216"/>
    <mergeCell ref="R214:R216"/>
    <mergeCell ref="S214:S216"/>
    <mergeCell ref="T214:T216"/>
    <mergeCell ref="U214:U216"/>
    <mergeCell ref="V214:V216"/>
    <mergeCell ref="W214:W216"/>
    <mergeCell ref="X214:X216"/>
    <mergeCell ref="Y214:Y216"/>
    <mergeCell ref="G213:G217"/>
    <mergeCell ref="H218:H222"/>
    <mergeCell ref="I218:I222"/>
    <mergeCell ref="J218:J222"/>
    <mergeCell ref="K218:K222"/>
    <mergeCell ref="L218:L222"/>
    <mergeCell ref="M218:M222"/>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18: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38:H243"/>
    <mergeCell ref="I238:I243"/>
    <mergeCell ref="J238:J243"/>
    <mergeCell ref="K238:K243"/>
    <mergeCell ref="L238:L243"/>
    <mergeCell ref="M238:M243"/>
    <mergeCell ref="AF238:AF243"/>
    <mergeCell ref="AG238:AG243"/>
    <mergeCell ref="AH238:AH243"/>
    <mergeCell ref="AI238:AI243"/>
    <mergeCell ref="AJ238:AJ243"/>
    <mergeCell ref="AK238:AK243"/>
    <mergeCell ref="N239:N242"/>
    <mergeCell ref="O239:O242"/>
    <mergeCell ref="P239:P242"/>
    <mergeCell ref="Q239:Q242"/>
    <mergeCell ref="R239:R242"/>
    <mergeCell ref="S239:S242"/>
    <mergeCell ref="T239:T242"/>
    <mergeCell ref="U239:U242"/>
    <mergeCell ref="V239:V242"/>
    <mergeCell ref="W239:W242"/>
    <mergeCell ref="X239:X242"/>
    <mergeCell ref="Y239:Y242"/>
    <mergeCell ref="G238:G243"/>
    <mergeCell ref="H244:H249"/>
    <mergeCell ref="I244:I249"/>
    <mergeCell ref="J244:J249"/>
    <mergeCell ref="K244:K249"/>
    <mergeCell ref="L244:L249"/>
    <mergeCell ref="M244:M249"/>
    <mergeCell ref="AF244:AF249"/>
    <mergeCell ref="AG244:AG249"/>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50:H256"/>
    <mergeCell ref="I250:I256"/>
    <mergeCell ref="J250:J256"/>
    <mergeCell ref="K250:K256"/>
    <mergeCell ref="L250:L256"/>
    <mergeCell ref="M250:M256"/>
    <mergeCell ref="AF250:AF256"/>
    <mergeCell ref="AG250:AG256"/>
    <mergeCell ref="AH250:AH256"/>
    <mergeCell ref="AI250:AI256"/>
    <mergeCell ref="AJ250:AJ256"/>
    <mergeCell ref="AK250:AK256"/>
    <mergeCell ref="N251:N255"/>
    <mergeCell ref="O251:O255"/>
    <mergeCell ref="P251:P255"/>
    <mergeCell ref="Q251:Q255"/>
    <mergeCell ref="R251:R255"/>
    <mergeCell ref="S251:S255"/>
    <mergeCell ref="T251:T255"/>
    <mergeCell ref="U251:U255"/>
    <mergeCell ref="V251:V255"/>
    <mergeCell ref="W251:W255"/>
    <mergeCell ref="X251:X255"/>
    <mergeCell ref="Y251:Y255"/>
    <mergeCell ref="G250:G256"/>
    <mergeCell ref="H257:H263"/>
    <mergeCell ref="I257:I263"/>
    <mergeCell ref="J257:J263"/>
    <mergeCell ref="K257:K263"/>
    <mergeCell ref="L257:L263"/>
    <mergeCell ref="M257:M263"/>
    <mergeCell ref="AF257:AF263"/>
    <mergeCell ref="AG257:AG263"/>
    <mergeCell ref="AH257:AH263"/>
    <mergeCell ref="AI257:AI263"/>
    <mergeCell ref="AJ257:AJ263"/>
    <mergeCell ref="AK257:AK263"/>
    <mergeCell ref="N258:N262"/>
    <mergeCell ref="O258:O262"/>
    <mergeCell ref="P258:P262"/>
    <mergeCell ref="Q258:Q262"/>
    <mergeCell ref="R258:R262"/>
    <mergeCell ref="S258:S262"/>
    <mergeCell ref="T258:T262"/>
    <mergeCell ref="U258:U262"/>
    <mergeCell ref="V258:V262"/>
    <mergeCell ref="W258:W262"/>
    <mergeCell ref="X258:X262"/>
    <mergeCell ref="Y258:Y262"/>
    <mergeCell ref="G257: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H269:H274"/>
    <mergeCell ref="I269:I274"/>
    <mergeCell ref="J269:J274"/>
    <mergeCell ref="K269:K274"/>
    <mergeCell ref="L269:L274"/>
    <mergeCell ref="M269:M274"/>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275:H280"/>
    <mergeCell ref="I275:I280"/>
    <mergeCell ref="J275:J280"/>
    <mergeCell ref="K275:K280"/>
    <mergeCell ref="L275:L280"/>
    <mergeCell ref="M275:M280"/>
    <mergeCell ref="AF275:AF280"/>
    <mergeCell ref="AG275:AG280"/>
    <mergeCell ref="AH275:AH280"/>
    <mergeCell ref="AI275:AI280"/>
    <mergeCell ref="AJ275:AJ280"/>
    <mergeCell ref="AK275:AK280"/>
    <mergeCell ref="N276:N279"/>
    <mergeCell ref="O276:O279"/>
    <mergeCell ref="P276:P279"/>
    <mergeCell ref="Q276:Q279"/>
    <mergeCell ref="R276:R279"/>
    <mergeCell ref="S276:S279"/>
    <mergeCell ref="T276:T279"/>
    <mergeCell ref="U276:U279"/>
    <mergeCell ref="V276:V279"/>
    <mergeCell ref="W276:W279"/>
    <mergeCell ref="X276:X279"/>
    <mergeCell ref="Y276:Y279"/>
    <mergeCell ref="G275:G280"/>
    <mergeCell ref="H281:H286"/>
    <mergeCell ref="I281:I286"/>
    <mergeCell ref="J281:J286"/>
    <mergeCell ref="K281:K286"/>
    <mergeCell ref="L281:L286"/>
    <mergeCell ref="M281:M286"/>
    <mergeCell ref="AF281:AF286"/>
    <mergeCell ref="AG281:AG286"/>
    <mergeCell ref="AH281:AH286"/>
    <mergeCell ref="AI281:AI286"/>
    <mergeCell ref="AJ281:AJ286"/>
    <mergeCell ref="AK281:AK286"/>
    <mergeCell ref="N282:N285"/>
    <mergeCell ref="O282:O285"/>
    <mergeCell ref="P282:P285"/>
    <mergeCell ref="Q282:Q285"/>
    <mergeCell ref="R282:R285"/>
    <mergeCell ref="S282:S285"/>
    <mergeCell ref="T282:T285"/>
    <mergeCell ref="U282:U285"/>
    <mergeCell ref="V282:V285"/>
    <mergeCell ref="W282:W285"/>
    <mergeCell ref="X282:X285"/>
    <mergeCell ref="Y282:Y285"/>
    <mergeCell ref="G281:G286"/>
    <mergeCell ref="H287:H292"/>
    <mergeCell ref="I287:I292"/>
    <mergeCell ref="J287:J292"/>
    <mergeCell ref="K287:K292"/>
    <mergeCell ref="L287:L292"/>
    <mergeCell ref="M287:M292"/>
    <mergeCell ref="AF287:AF292"/>
    <mergeCell ref="AG287:AG292"/>
    <mergeCell ref="AH287:AH292"/>
    <mergeCell ref="AI287:AI292"/>
    <mergeCell ref="AJ287:AJ292"/>
    <mergeCell ref="AK287:AK292"/>
    <mergeCell ref="N288:N291"/>
    <mergeCell ref="O288:O291"/>
    <mergeCell ref="P288:P291"/>
    <mergeCell ref="Q288:Q291"/>
    <mergeCell ref="R288:R291"/>
    <mergeCell ref="S288:S291"/>
    <mergeCell ref="T288:T291"/>
    <mergeCell ref="U288:U291"/>
    <mergeCell ref="V288:V291"/>
    <mergeCell ref="W288:W291"/>
    <mergeCell ref="X288:X291"/>
    <mergeCell ref="Y288:Y291"/>
    <mergeCell ref="G287:G292"/>
    <mergeCell ref="H293:H298"/>
    <mergeCell ref="I293:I298"/>
    <mergeCell ref="J293:J298"/>
    <mergeCell ref="K293:K298"/>
    <mergeCell ref="L293:L298"/>
    <mergeCell ref="M293:M298"/>
    <mergeCell ref="AF293:AF298"/>
    <mergeCell ref="AG293:AG298"/>
    <mergeCell ref="AH293:AH298"/>
    <mergeCell ref="AI293:AI298"/>
    <mergeCell ref="AJ293:AJ298"/>
    <mergeCell ref="AK293:AK298"/>
    <mergeCell ref="N294:N297"/>
    <mergeCell ref="O294:O297"/>
    <mergeCell ref="P294:P297"/>
    <mergeCell ref="Q294:Q297"/>
    <mergeCell ref="R294:R297"/>
    <mergeCell ref="S294:S297"/>
    <mergeCell ref="T294:T297"/>
    <mergeCell ref="U294:U297"/>
    <mergeCell ref="V294:V297"/>
    <mergeCell ref="W294:W297"/>
    <mergeCell ref="X294:X297"/>
    <mergeCell ref="Y294:Y297"/>
    <mergeCell ref="G293:G298"/>
    <mergeCell ref="H299:H304"/>
    <mergeCell ref="I299:I304"/>
    <mergeCell ref="J299:J304"/>
    <mergeCell ref="K299:K304"/>
    <mergeCell ref="L299:L304"/>
    <mergeCell ref="M299:M304"/>
    <mergeCell ref="AF299:AF304"/>
    <mergeCell ref="AG299:AG304"/>
    <mergeCell ref="AH299:AH304"/>
    <mergeCell ref="AI299:AI304"/>
    <mergeCell ref="AJ299:AJ304"/>
    <mergeCell ref="AK299:AK304"/>
    <mergeCell ref="N300:N303"/>
    <mergeCell ref="O300:O303"/>
    <mergeCell ref="P300:P303"/>
    <mergeCell ref="Q300:Q303"/>
    <mergeCell ref="R300:R303"/>
    <mergeCell ref="S300:S303"/>
    <mergeCell ref="T300:T303"/>
    <mergeCell ref="U300:U303"/>
    <mergeCell ref="V300:V303"/>
    <mergeCell ref="W300:W303"/>
    <mergeCell ref="X300:X303"/>
    <mergeCell ref="Y300:Y303"/>
    <mergeCell ref="G299:G304"/>
    <mergeCell ref="H305:H310"/>
    <mergeCell ref="I305:I310"/>
    <mergeCell ref="J305:J310"/>
    <mergeCell ref="K305:K310"/>
    <mergeCell ref="L305:L310"/>
    <mergeCell ref="M305:M310"/>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305:G310"/>
    <mergeCell ref="H311:H316"/>
    <mergeCell ref="I311:I316"/>
    <mergeCell ref="J311:J316"/>
    <mergeCell ref="K311:K316"/>
    <mergeCell ref="L311:L316"/>
    <mergeCell ref="M311:M316"/>
    <mergeCell ref="AF311:AF316"/>
    <mergeCell ref="AG311:AG316"/>
    <mergeCell ref="AH311:AH316"/>
    <mergeCell ref="AI311:AI316"/>
    <mergeCell ref="AJ311:AJ316"/>
    <mergeCell ref="AK311:AK316"/>
    <mergeCell ref="N312:N315"/>
    <mergeCell ref="O312:O315"/>
    <mergeCell ref="P312:P315"/>
    <mergeCell ref="Q312:Q315"/>
    <mergeCell ref="R312:R315"/>
    <mergeCell ref="S312:S315"/>
    <mergeCell ref="T312:T315"/>
    <mergeCell ref="U312:U315"/>
    <mergeCell ref="V312:V315"/>
    <mergeCell ref="W312:W315"/>
    <mergeCell ref="X312:X315"/>
    <mergeCell ref="Y312:Y315"/>
    <mergeCell ref="G311:G316"/>
    <mergeCell ref="H317:H322"/>
    <mergeCell ref="I317:I322"/>
    <mergeCell ref="J317:J322"/>
    <mergeCell ref="K317:K322"/>
    <mergeCell ref="L317:L322"/>
    <mergeCell ref="M317:M322"/>
    <mergeCell ref="AF317:AF322"/>
    <mergeCell ref="AG317:AG322"/>
    <mergeCell ref="AH317:AH322"/>
    <mergeCell ref="AI317:AI322"/>
    <mergeCell ref="AJ317:AJ322"/>
    <mergeCell ref="AK317:AK322"/>
    <mergeCell ref="N318:N321"/>
    <mergeCell ref="O318:O321"/>
    <mergeCell ref="P318:P321"/>
    <mergeCell ref="Q318:Q321"/>
    <mergeCell ref="R318:R321"/>
    <mergeCell ref="S318:S321"/>
    <mergeCell ref="T318:T321"/>
    <mergeCell ref="U318:U321"/>
    <mergeCell ref="V318:V321"/>
    <mergeCell ref="W318:W321"/>
    <mergeCell ref="X318:X321"/>
    <mergeCell ref="Y318:Y321"/>
    <mergeCell ref="G317:G322"/>
    <mergeCell ref="H323:H327"/>
    <mergeCell ref="I323:I327"/>
    <mergeCell ref="J323:J327"/>
    <mergeCell ref="K323:K327"/>
    <mergeCell ref="L323:L327"/>
    <mergeCell ref="M323:M327"/>
    <mergeCell ref="AF323:AF327"/>
    <mergeCell ref="AG323:AG327"/>
    <mergeCell ref="AH323:AH327"/>
    <mergeCell ref="AI323:AI327"/>
    <mergeCell ref="AJ323:AJ327"/>
    <mergeCell ref="AK323:AK327"/>
    <mergeCell ref="N324:N326"/>
    <mergeCell ref="O324:O326"/>
    <mergeCell ref="P324:P326"/>
    <mergeCell ref="Q324:Q326"/>
    <mergeCell ref="R324:R326"/>
    <mergeCell ref="S324:S326"/>
    <mergeCell ref="T324:T326"/>
    <mergeCell ref="U324:U326"/>
    <mergeCell ref="V324:V326"/>
    <mergeCell ref="W324:W326"/>
    <mergeCell ref="X324:X326"/>
    <mergeCell ref="Y324:Y326"/>
    <mergeCell ref="G323:G327"/>
    <mergeCell ref="H328:H332"/>
    <mergeCell ref="I328:I332"/>
    <mergeCell ref="J328:J332"/>
    <mergeCell ref="K328:K332"/>
    <mergeCell ref="L328:L332"/>
    <mergeCell ref="M328:M332"/>
    <mergeCell ref="AF328:AF332"/>
    <mergeCell ref="AG328:AG332"/>
    <mergeCell ref="AH328:AH332"/>
    <mergeCell ref="AI328:AI332"/>
    <mergeCell ref="AJ328:AJ332"/>
    <mergeCell ref="AK328:AK332"/>
    <mergeCell ref="N329:N331"/>
    <mergeCell ref="O329:O331"/>
    <mergeCell ref="P329:P331"/>
    <mergeCell ref="Q329:Q331"/>
    <mergeCell ref="R329:R331"/>
    <mergeCell ref="S329:S331"/>
    <mergeCell ref="T329:T331"/>
    <mergeCell ref="U329:U331"/>
    <mergeCell ref="V329:V331"/>
    <mergeCell ref="W329:W331"/>
    <mergeCell ref="X329:X331"/>
    <mergeCell ref="Y329:Y331"/>
    <mergeCell ref="G328:G332"/>
    <mergeCell ref="H333:H338"/>
    <mergeCell ref="I333:I338"/>
    <mergeCell ref="J333:J338"/>
    <mergeCell ref="K333:K338"/>
    <mergeCell ref="L333:L338"/>
    <mergeCell ref="M333:M338"/>
    <mergeCell ref="AF333:AF338"/>
    <mergeCell ref="AG333:AG338"/>
    <mergeCell ref="AH333:AH338"/>
    <mergeCell ref="AI333:AI338"/>
    <mergeCell ref="AJ333:AJ338"/>
    <mergeCell ref="AK333:AK338"/>
    <mergeCell ref="N334:N337"/>
    <mergeCell ref="O334:O337"/>
    <mergeCell ref="P334:P337"/>
    <mergeCell ref="Q334:Q337"/>
    <mergeCell ref="R334:R337"/>
    <mergeCell ref="S334:S337"/>
    <mergeCell ref="T334:T337"/>
    <mergeCell ref="U334:U337"/>
    <mergeCell ref="V334:V337"/>
    <mergeCell ref="W334:W337"/>
    <mergeCell ref="X334:X337"/>
    <mergeCell ref="Y334:Y337"/>
    <mergeCell ref="G333:G338"/>
    <mergeCell ref="H339:H343"/>
    <mergeCell ref="I339:I343"/>
    <mergeCell ref="J339:J343"/>
    <mergeCell ref="K339:K343"/>
    <mergeCell ref="L339:L343"/>
    <mergeCell ref="M339:M343"/>
    <mergeCell ref="AF339:AF343"/>
    <mergeCell ref="AG339:AG343"/>
    <mergeCell ref="AH339:AH343"/>
    <mergeCell ref="AI339:AI343"/>
    <mergeCell ref="AJ339:AJ343"/>
    <mergeCell ref="AK339:AK343"/>
    <mergeCell ref="N340:N342"/>
    <mergeCell ref="O340:O342"/>
    <mergeCell ref="P340:P342"/>
    <mergeCell ref="Q340:Q342"/>
    <mergeCell ref="R340:R342"/>
    <mergeCell ref="S340:S342"/>
    <mergeCell ref="T340:T342"/>
    <mergeCell ref="U340:U342"/>
    <mergeCell ref="V340:V342"/>
    <mergeCell ref="W340:W342"/>
    <mergeCell ref="X340:X342"/>
    <mergeCell ref="Y340:Y342"/>
    <mergeCell ref="G339:G343"/>
    <mergeCell ref="H344:H348"/>
    <mergeCell ref="I344:I348"/>
    <mergeCell ref="J344:J348"/>
    <mergeCell ref="K344:K348"/>
    <mergeCell ref="L344:L348"/>
    <mergeCell ref="M344:M348"/>
    <mergeCell ref="AF344:AF348"/>
    <mergeCell ref="AG344:AG348"/>
    <mergeCell ref="AH344:AH348"/>
    <mergeCell ref="AI344:AI348"/>
    <mergeCell ref="AJ344:AJ348"/>
    <mergeCell ref="AK344:AK348"/>
    <mergeCell ref="N345:N347"/>
    <mergeCell ref="O345:O347"/>
    <mergeCell ref="P345:P347"/>
    <mergeCell ref="Q345:Q347"/>
    <mergeCell ref="R345:R347"/>
    <mergeCell ref="S345:S347"/>
    <mergeCell ref="T345:T347"/>
    <mergeCell ref="U345:U347"/>
    <mergeCell ref="V345:V347"/>
    <mergeCell ref="W345:W347"/>
    <mergeCell ref="X345:X347"/>
    <mergeCell ref="Y345:Y347"/>
    <mergeCell ref="G344:G348"/>
    <mergeCell ref="H349:H354"/>
    <mergeCell ref="I349:I354"/>
    <mergeCell ref="J349:J354"/>
    <mergeCell ref="K349:K354"/>
    <mergeCell ref="L349:L354"/>
    <mergeCell ref="M349:M354"/>
    <mergeCell ref="AF349:AF354"/>
    <mergeCell ref="AG349:AG354"/>
    <mergeCell ref="AH349:AH354"/>
    <mergeCell ref="AI349:AI354"/>
    <mergeCell ref="AJ349:AJ354"/>
    <mergeCell ref="AK349:AK354"/>
    <mergeCell ref="N350:N353"/>
    <mergeCell ref="O350:O353"/>
    <mergeCell ref="P350:P353"/>
    <mergeCell ref="Q350:Q353"/>
    <mergeCell ref="R350:R353"/>
    <mergeCell ref="S350:S353"/>
    <mergeCell ref="T350:T353"/>
    <mergeCell ref="U350:U353"/>
    <mergeCell ref="V350:V353"/>
    <mergeCell ref="W350:W353"/>
    <mergeCell ref="X350:X353"/>
    <mergeCell ref="Y350:Y353"/>
    <mergeCell ref="G349:G354"/>
    <mergeCell ref="H355:H359"/>
    <mergeCell ref="I355:I359"/>
    <mergeCell ref="J355:J359"/>
    <mergeCell ref="K355:K359"/>
    <mergeCell ref="L355:L359"/>
    <mergeCell ref="M355:M359"/>
    <mergeCell ref="AF355:AF359"/>
    <mergeCell ref="AG355:AG359"/>
    <mergeCell ref="AH355:AH359"/>
    <mergeCell ref="AI355:AI359"/>
    <mergeCell ref="AJ355:AJ359"/>
    <mergeCell ref="AK355:AK359"/>
    <mergeCell ref="N356:N358"/>
    <mergeCell ref="O356:O358"/>
    <mergeCell ref="P356:P358"/>
    <mergeCell ref="Q356:Q358"/>
    <mergeCell ref="R356:R358"/>
    <mergeCell ref="S356:S358"/>
    <mergeCell ref="T356:T358"/>
    <mergeCell ref="U356:U358"/>
    <mergeCell ref="V356:V358"/>
    <mergeCell ref="W356:W358"/>
    <mergeCell ref="X356:X358"/>
    <mergeCell ref="Y356:Y358"/>
    <mergeCell ref="G355:G359"/>
    <mergeCell ref="H360:H365"/>
    <mergeCell ref="I360:I365"/>
    <mergeCell ref="J360:J365"/>
    <mergeCell ref="K360:K365"/>
    <mergeCell ref="L360:L365"/>
    <mergeCell ref="M360:M365"/>
    <mergeCell ref="AF360:AF365"/>
    <mergeCell ref="AG360:AG365"/>
    <mergeCell ref="AH360:AH365"/>
    <mergeCell ref="AI360:AI365"/>
    <mergeCell ref="AJ360:AJ365"/>
    <mergeCell ref="AK360:AK365"/>
    <mergeCell ref="N361:N364"/>
    <mergeCell ref="O361:O364"/>
    <mergeCell ref="P361:P364"/>
    <mergeCell ref="Q361:Q364"/>
    <mergeCell ref="R361:R364"/>
    <mergeCell ref="S361:S364"/>
    <mergeCell ref="T361:T364"/>
    <mergeCell ref="U361:U364"/>
    <mergeCell ref="V361:V364"/>
    <mergeCell ref="W361:W364"/>
    <mergeCell ref="X361:X364"/>
    <mergeCell ref="Y361:Y364"/>
    <mergeCell ref="G360:G365"/>
    <mergeCell ref="H366:H370"/>
    <mergeCell ref="I366:I370"/>
    <mergeCell ref="J366:J370"/>
    <mergeCell ref="K366:K370"/>
    <mergeCell ref="L366:L370"/>
    <mergeCell ref="M366:M370"/>
    <mergeCell ref="AF366:AF370"/>
    <mergeCell ref="AG366:AG370"/>
    <mergeCell ref="AH366:AH370"/>
    <mergeCell ref="AI366:AI370"/>
    <mergeCell ref="AJ366:AJ370"/>
    <mergeCell ref="AK366:AK370"/>
    <mergeCell ref="N367:N369"/>
    <mergeCell ref="O367:O369"/>
    <mergeCell ref="P367:P369"/>
    <mergeCell ref="Q367:Q369"/>
    <mergeCell ref="R367:R369"/>
    <mergeCell ref="S367:S369"/>
    <mergeCell ref="T367:T369"/>
    <mergeCell ref="U367:U369"/>
    <mergeCell ref="V367:V369"/>
    <mergeCell ref="W367:W369"/>
    <mergeCell ref="X367:X369"/>
    <mergeCell ref="Y367:Y369"/>
    <mergeCell ref="G366:G370"/>
    <mergeCell ref="H371:H376"/>
    <mergeCell ref="I371:I376"/>
    <mergeCell ref="J371:J376"/>
    <mergeCell ref="K371:K376"/>
    <mergeCell ref="L371:L376"/>
    <mergeCell ref="M371:M376"/>
    <mergeCell ref="AF371:AF376"/>
    <mergeCell ref="AG371:AG376"/>
    <mergeCell ref="AH371:AH376"/>
    <mergeCell ref="AI371:AI376"/>
    <mergeCell ref="AJ371:AJ376"/>
    <mergeCell ref="AK371:AK376"/>
    <mergeCell ref="N372:N375"/>
    <mergeCell ref="O372:O375"/>
    <mergeCell ref="P372:P375"/>
    <mergeCell ref="Q372:Q375"/>
    <mergeCell ref="R372:R375"/>
    <mergeCell ref="S372:S375"/>
    <mergeCell ref="T372:T375"/>
    <mergeCell ref="U372:U375"/>
    <mergeCell ref="V372:V375"/>
    <mergeCell ref="W372:W375"/>
    <mergeCell ref="X372:X375"/>
    <mergeCell ref="Y372:Y375"/>
    <mergeCell ref="G371:G376"/>
    <mergeCell ref="H377:H382"/>
    <mergeCell ref="I377:I382"/>
    <mergeCell ref="J377:J382"/>
    <mergeCell ref="K377:K382"/>
    <mergeCell ref="L377:L382"/>
    <mergeCell ref="M377:M382"/>
    <mergeCell ref="AF377:AF382"/>
    <mergeCell ref="AG377:AG382"/>
    <mergeCell ref="AH377:AH382"/>
    <mergeCell ref="AI377:AI382"/>
    <mergeCell ref="AJ377:AJ382"/>
    <mergeCell ref="AK377:AK382"/>
    <mergeCell ref="N378:N381"/>
    <mergeCell ref="O378:O381"/>
    <mergeCell ref="P378:P381"/>
    <mergeCell ref="Q378:Q381"/>
    <mergeCell ref="R378:R381"/>
    <mergeCell ref="S378:S381"/>
    <mergeCell ref="T378:T381"/>
    <mergeCell ref="U378:U381"/>
    <mergeCell ref="V378:V381"/>
    <mergeCell ref="W378:W381"/>
    <mergeCell ref="X378:X381"/>
    <mergeCell ref="Y378:Y381"/>
    <mergeCell ref="G377:G382"/>
    <mergeCell ref="H383:H388"/>
    <mergeCell ref="I383:I388"/>
    <mergeCell ref="J383:J388"/>
    <mergeCell ref="K383:K388"/>
    <mergeCell ref="L383:L388"/>
    <mergeCell ref="M383:M388"/>
    <mergeCell ref="AF383:AF388"/>
    <mergeCell ref="AG383:AG388"/>
    <mergeCell ref="AH383:AH388"/>
    <mergeCell ref="AI383:AI388"/>
    <mergeCell ref="AJ383:AJ388"/>
    <mergeCell ref="AK383:AK388"/>
    <mergeCell ref="N384:N387"/>
    <mergeCell ref="O384:O387"/>
    <mergeCell ref="P384:P387"/>
    <mergeCell ref="Q384:Q387"/>
    <mergeCell ref="R384:R387"/>
    <mergeCell ref="S384:S387"/>
    <mergeCell ref="T384:T387"/>
    <mergeCell ref="U384:U387"/>
    <mergeCell ref="V384:V387"/>
    <mergeCell ref="W384:W387"/>
    <mergeCell ref="X384:X387"/>
    <mergeCell ref="Y384:Y387"/>
    <mergeCell ref="G383:G388"/>
    <mergeCell ref="H389:H394"/>
    <mergeCell ref="I389:I394"/>
    <mergeCell ref="J389:J394"/>
    <mergeCell ref="K389:K394"/>
    <mergeCell ref="L389:L394"/>
    <mergeCell ref="M389:M394"/>
    <mergeCell ref="AF389:AF394"/>
    <mergeCell ref="AG389:AG394"/>
    <mergeCell ref="AH389:AH394"/>
    <mergeCell ref="AI389:AI394"/>
    <mergeCell ref="AJ389:AJ394"/>
    <mergeCell ref="AK389:AK394"/>
    <mergeCell ref="N390:N393"/>
    <mergeCell ref="O390:O393"/>
    <mergeCell ref="P390:P393"/>
    <mergeCell ref="Q390:Q393"/>
    <mergeCell ref="R390:R393"/>
    <mergeCell ref="S390:S393"/>
    <mergeCell ref="T390:T393"/>
    <mergeCell ref="U390:U393"/>
    <mergeCell ref="V390:V393"/>
    <mergeCell ref="W390:W393"/>
    <mergeCell ref="X390:X393"/>
    <mergeCell ref="Y390:Y393"/>
    <mergeCell ref="G389:G394"/>
    <mergeCell ref="H395:H400"/>
    <mergeCell ref="I395:I400"/>
    <mergeCell ref="J395:J400"/>
    <mergeCell ref="K395:K400"/>
    <mergeCell ref="L395:L400"/>
    <mergeCell ref="M395:M400"/>
    <mergeCell ref="AF395:AF400"/>
    <mergeCell ref="AG395:AG400"/>
    <mergeCell ref="AH395:AH400"/>
    <mergeCell ref="AI395:AI400"/>
    <mergeCell ref="AJ395:AJ400"/>
    <mergeCell ref="AK395:AK400"/>
    <mergeCell ref="N396:N399"/>
    <mergeCell ref="O396:O399"/>
    <mergeCell ref="P396:P399"/>
    <mergeCell ref="Q396:Q399"/>
    <mergeCell ref="R396:R399"/>
    <mergeCell ref="S396:S399"/>
    <mergeCell ref="T396:T399"/>
    <mergeCell ref="U396:U399"/>
    <mergeCell ref="V396:V399"/>
    <mergeCell ref="W396:W399"/>
    <mergeCell ref="X396:X399"/>
    <mergeCell ref="Y396:Y399"/>
    <mergeCell ref="G395:G400"/>
    <mergeCell ref="H401:H406"/>
    <mergeCell ref="I401:I406"/>
    <mergeCell ref="J401:J406"/>
    <mergeCell ref="K401:K406"/>
    <mergeCell ref="L401:L406"/>
    <mergeCell ref="M401:M406"/>
    <mergeCell ref="AF401:AF406"/>
    <mergeCell ref="AG401:AG406"/>
    <mergeCell ref="AH401:AH406"/>
    <mergeCell ref="AI401:AI406"/>
    <mergeCell ref="AJ401:AJ406"/>
    <mergeCell ref="AK401:AK406"/>
    <mergeCell ref="N402:N405"/>
    <mergeCell ref="O402:O405"/>
    <mergeCell ref="P402:P405"/>
    <mergeCell ref="Q402:Q405"/>
    <mergeCell ref="R402:R405"/>
    <mergeCell ref="S402:S405"/>
    <mergeCell ref="T402:T405"/>
    <mergeCell ref="U402:U405"/>
    <mergeCell ref="V402:V405"/>
    <mergeCell ref="W402:W405"/>
    <mergeCell ref="X402:X405"/>
    <mergeCell ref="Y402:Y405"/>
    <mergeCell ref="G401:G406"/>
    <mergeCell ref="H407:H412"/>
    <mergeCell ref="I407:I412"/>
    <mergeCell ref="J407:J412"/>
    <mergeCell ref="K407:K412"/>
    <mergeCell ref="L407:L412"/>
    <mergeCell ref="M407:M412"/>
    <mergeCell ref="AF407:AF412"/>
    <mergeCell ref="AG407:AG412"/>
    <mergeCell ref="AH407:AH412"/>
    <mergeCell ref="AI407:AI412"/>
    <mergeCell ref="AJ407:AJ412"/>
    <mergeCell ref="AK407:AK412"/>
    <mergeCell ref="N408:N411"/>
    <mergeCell ref="O408:O411"/>
    <mergeCell ref="P408:P411"/>
    <mergeCell ref="Q408:Q411"/>
    <mergeCell ref="R408:R411"/>
    <mergeCell ref="S408:S411"/>
    <mergeCell ref="T408:T411"/>
    <mergeCell ref="U408:U411"/>
    <mergeCell ref="V408:V411"/>
    <mergeCell ref="W408:W411"/>
    <mergeCell ref="X408:X411"/>
    <mergeCell ref="Y408:Y411"/>
    <mergeCell ref="G407:G412"/>
    <mergeCell ref="H413:H417"/>
    <mergeCell ref="I413:I417"/>
    <mergeCell ref="J413:J417"/>
    <mergeCell ref="K413:K417"/>
    <mergeCell ref="L413:L417"/>
    <mergeCell ref="M413:M417"/>
    <mergeCell ref="AF413:AF417"/>
    <mergeCell ref="AG413:AG417"/>
    <mergeCell ref="AH413:AH417"/>
    <mergeCell ref="AI413:AI417"/>
    <mergeCell ref="AJ413:AJ417"/>
    <mergeCell ref="AK413:AK417"/>
    <mergeCell ref="N414:N416"/>
    <mergeCell ref="O414:O416"/>
    <mergeCell ref="P414:P416"/>
    <mergeCell ref="Q414:Q416"/>
    <mergeCell ref="R414:R416"/>
    <mergeCell ref="S414:S416"/>
    <mergeCell ref="T414:T416"/>
    <mergeCell ref="U414:U416"/>
    <mergeCell ref="V414:V416"/>
    <mergeCell ref="W414:W416"/>
    <mergeCell ref="X414:X416"/>
    <mergeCell ref="Y414:Y416"/>
    <mergeCell ref="G413:G417"/>
    <mergeCell ref="H418:H422"/>
    <mergeCell ref="I418:I422"/>
    <mergeCell ref="J418:J422"/>
    <mergeCell ref="K418:K422"/>
    <mergeCell ref="L418:L422"/>
    <mergeCell ref="M418:M422"/>
    <mergeCell ref="AF418:AF422"/>
    <mergeCell ref="AG418:AG422"/>
    <mergeCell ref="AH418:AH422"/>
    <mergeCell ref="AI418:AI422"/>
    <mergeCell ref="AJ418:AJ422"/>
    <mergeCell ref="AK418:AK422"/>
    <mergeCell ref="N419:N421"/>
    <mergeCell ref="O419:O421"/>
    <mergeCell ref="P419:P421"/>
    <mergeCell ref="Q419:Q421"/>
    <mergeCell ref="R419:R421"/>
    <mergeCell ref="S419:S421"/>
    <mergeCell ref="T419:T421"/>
    <mergeCell ref="U419:U421"/>
    <mergeCell ref="V419:V421"/>
    <mergeCell ref="W419:W421"/>
    <mergeCell ref="X419:X421"/>
    <mergeCell ref="Y419:Y421"/>
    <mergeCell ref="G418:G422"/>
    <mergeCell ref="H423:H427"/>
    <mergeCell ref="I423:I427"/>
    <mergeCell ref="J423:J427"/>
    <mergeCell ref="K423:K427"/>
    <mergeCell ref="L423:L427"/>
    <mergeCell ref="M423:M427"/>
    <mergeCell ref="AF423:AF427"/>
    <mergeCell ref="AG423:AG427"/>
    <mergeCell ref="AH423:AH427"/>
    <mergeCell ref="AI423:AI427"/>
    <mergeCell ref="AJ423:AJ427"/>
    <mergeCell ref="AK423:AK427"/>
    <mergeCell ref="N424:N426"/>
    <mergeCell ref="O424:O426"/>
    <mergeCell ref="P424:P426"/>
    <mergeCell ref="Q424:Q426"/>
    <mergeCell ref="R424:R426"/>
    <mergeCell ref="S424:S426"/>
    <mergeCell ref="T424:T426"/>
    <mergeCell ref="U424:U426"/>
    <mergeCell ref="V424:V426"/>
    <mergeCell ref="W424:W426"/>
    <mergeCell ref="X424:X426"/>
    <mergeCell ref="Y424:Y426"/>
    <mergeCell ref="G423:G427"/>
    <mergeCell ref="H428:H433"/>
    <mergeCell ref="I428:I433"/>
    <mergeCell ref="J428:J433"/>
    <mergeCell ref="K428:K433"/>
    <mergeCell ref="L428:L433"/>
    <mergeCell ref="M428:M433"/>
    <mergeCell ref="AF428:AF433"/>
    <mergeCell ref="AG428:AG433"/>
    <mergeCell ref="AH428:AH433"/>
    <mergeCell ref="AI428:AI433"/>
    <mergeCell ref="AJ428:AJ433"/>
    <mergeCell ref="AK428:AK433"/>
    <mergeCell ref="N429:N432"/>
    <mergeCell ref="O429:O432"/>
    <mergeCell ref="P429:P432"/>
    <mergeCell ref="Q429:Q432"/>
    <mergeCell ref="R429:R432"/>
    <mergeCell ref="S429:S432"/>
    <mergeCell ref="T429:T432"/>
    <mergeCell ref="U429:U432"/>
    <mergeCell ref="V429:V432"/>
    <mergeCell ref="W429:W432"/>
    <mergeCell ref="X429:X432"/>
    <mergeCell ref="Y429:Y432"/>
    <mergeCell ref="G428:G433"/>
    <mergeCell ref="H434:H439"/>
    <mergeCell ref="I434:I439"/>
    <mergeCell ref="J434:J439"/>
    <mergeCell ref="K434:K439"/>
    <mergeCell ref="L434:L439"/>
    <mergeCell ref="M434:M439"/>
    <mergeCell ref="AF434:AF439"/>
    <mergeCell ref="AG434:AG439"/>
    <mergeCell ref="AH434:AH439"/>
    <mergeCell ref="AI434:AI439"/>
    <mergeCell ref="AJ434:AJ439"/>
    <mergeCell ref="AK434:AK439"/>
    <mergeCell ref="N435:N438"/>
    <mergeCell ref="O435:O438"/>
    <mergeCell ref="P435:P438"/>
    <mergeCell ref="Q435:Q438"/>
    <mergeCell ref="R435:R438"/>
    <mergeCell ref="S435:S438"/>
    <mergeCell ref="T435:T438"/>
    <mergeCell ref="U435:U438"/>
    <mergeCell ref="V435:V438"/>
    <mergeCell ref="W435:W438"/>
    <mergeCell ref="X435:X438"/>
    <mergeCell ref="Y435:Y438"/>
    <mergeCell ref="G434:G439"/>
    <mergeCell ref="H440:H445"/>
    <mergeCell ref="I440:I445"/>
    <mergeCell ref="J440:J445"/>
    <mergeCell ref="K440:K445"/>
    <mergeCell ref="L440:L445"/>
    <mergeCell ref="M440:M445"/>
    <mergeCell ref="AF440:AF445"/>
    <mergeCell ref="AG440:AG445"/>
    <mergeCell ref="AH440:AH445"/>
    <mergeCell ref="AI440:AI445"/>
    <mergeCell ref="AJ440:AJ445"/>
    <mergeCell ref="AK440:AK445"/>
    <mergeCell ref="N441:N444"/>
    <mergeCell ref="O441:O444"/>
    <mergeCell ref="P441:P444"/>
    <mergeCell ref="Q441:Q444"/>
    <mergeCell ref="R441:R444"/>
    <mergeCell ref="S441:S444"/>
    <mergeCell ref="T441:T444"/>
    <mergeCell ref="U441:U444"/>
    <mergeCell ref="V441:V444"/>
    <mergeCell ref="W441:W444"/>
    <mergeCell ref="X441:X444"/>
    <mergeCell ref="Y441:Y444"/>
    <mergeCell ref="G440:G445"/>
    <mergeCell ref="H446:H451"/>
    <mergeCell ref="I446:I451"/>
    <mergeCell ref="J446:J451"/>
    <mergeCell ref="K446:K451"/>
    <mergeCell ref="L446:L451"/>
    <mergeCell ref="M446:M451"/>
    <mergeCell ref="AF446:AF451"/>
    <mergeCell ref="AG446:AG451"/>
    <mergeCell ref="AH446:AH451"/>
    <mergeCell ref="AI446:AI451"/>
    <mergeCell ref="AJ446:AJ451"/>
    <mergeCell ref="AK446:AK451"/>
    <mergeCell ref="N447:N450"/>
    <mergeCell ref="O447:O450"/>
    <mergeCell ref="P447:P450"/>
    <mergeCell ref="Q447:Q450"/>
    <mergeCell ref="R447:R450"/>
    <mergeCell ref="S447:S450"/>
    <mergeCell ref="T447:T450"/>
    <mergeCell ref="U447:U450"/>
    <mergeCell ref="V447:V450"/>
    <mergeCell ref="W447:W450"/>
    <mergeCell ref="X447:X450"/>
    <mergeCell ref="Y447:Y450"/>
    <mergeCell ref="G446:G451"/>
    <mergeCell ref="H452:H457"/>
    <mergeCell ref="I452:I457"/>
    <mergeCell ref="J452:J457"/>
    <mergeCell ref="K452:K457"/>
    <mergeCell ref="L452:L457"/>
    <mergeCell ref="M452:M457"/>
    <mergeCell ref="AF452:AF457"/>
    <mergeCell ref="AG452:AG457"/>
    <mergeCell ref="AH452:AH457"/>
    <mergeCell ref="AI452:AI457"/>
    <mergeCell ref="AJ452:AJ457"/>
    <mergeCell ref="AK452:AK457"/>
    <mergeCell ref="N453:N456"/>
    <mergeCell ref="O453:O456"/>
    <mergeCell ref="P453:P456"/>
    <mergeCell ref="Q453:Q456"/>
    <mergeCell ref="R453:R456"/>
    <mergeCell ref="S453:S456"/>
    <mergeCell ref="T453:T456"/>
    <mergeCell ref="U453:U456"/>
    <mergeCell ref="V453:V456"/>
    <mergeCell ref="W453:W456"/>
    <mergeCell ref="X453:X456"/>
    <mergeCell ref="Y453:Y456"/>
    <mergeCell ref="G452:G457"/>
    <mergeCell ref="H458:H463"/>
    <mergeCell ref="I458:I463"/>
    <mergeCell ref="J458:J463"/>
    <mergeCell ref="K458:K463"/>
    <mergeCell ref="L458:L463"/>
    <mergeCell ref="M458:M463"/>
    <mergeCell ref="AF458:AF463"/>
    <mergeCell ref="AG458:AG463"/>
    <mergeCell ref="AH458:AH463"/>
    <mergeCell ref="AI458:AI463"/>
    <mergeCell ref="AJ458:AJ463"/>
    <mergeCell ref="AK458:AK463"/>
    <mergeCell ref="N459:N462"/>
    <mergeCell ref="O459:O462"/>
    <mergeCell ref="P459:P462"/>
    <mergeCell ref="Q459:Q462"/>
    <mergeCell ref="R459:R462"/>
    <mergeCell ref="S459:S462"/>
    <mergeCell ref="T459:T462"/>
    <mergeCell ref="U459:U462"/>
    <mergeCell ref="V459:V462"/>
    <mergeCell ref="W459:W462"/>
    <mergeCell ref="X459:X462"/>
    <mergeCell ref="Y459:Y462"/>
    <mergeCell ref="G458:G463"/>
    <mergeCell ref="H464:H469"/>
    <mergeCell ref="I464:I469"/>
    <mergeCell ref="J464:J469"/>
    <mergeCell ref="K464:K469"/>
    <mergeCell ref="L464:L469"/>
    <mergeCell ref="M464:M469"/>
    <mergeCell ref="AF464:AF469"/>
    <mergeCell ref="AG464:AG469"/>
    <mergeCell ref="AH464:AH469"/>
    <mergeCell ref="AI464:AI469"/>
    <mergeCell ref="AJ464:AJ469"/>
    <mergeCell ref="AK464:AK469"/>
    <mergeCell ref="N465:N468"/>
    <mergeCell ref="O465:O468"/>
    <mergeCell ref="P465:P468"/>
    <mergeCell ref="Q465:Q468"/>
    <mergeCell ref="R465:R468"/>
    <mergeCell ref="S465:S468"/>
    <mergeCell ref="T465:T468"/>
    <mergeCell ref="U465:U468"/>
    <mergeCell ref="V465:V468"/>
    <mergeCell ref="W465:W468"/>
    <mergeCell ref="X465:X468"/>
    <mergeCell ref="Y465:Y468"/>
    <mergeCell ref="G464:G469"/>
    <mergeCell ref="H470:H475"/>
    <mergeCell ref="I470:I475"/>
    <mergeCell ref="J470:J475"/>
    <mergeCell ref="K470:K475"/>
    <mergeCell ref="L470:L475"/>
    <mergeCell ref="M470:M475"/>
    <mergeCell ref="AF470:AF475"/>
    <mergeCell ref="AG470:AG475"/>
    <mergeCell ref="AH470:AH475"/>
    <mergeCell ref="AI470:AI475"/>
    <mergeCell ref="AJ470:AJ475"/>
    <mergeCell ref="AK470:AK475"/>
    <mergeCell ref="N471:N474"/>
    <mergeCell ref="O471:O474"/>
    <mergeCell ref="P471:P474"/>
    <mergeCell ref="Q471:Q474"/>
    <mergeCell ref="R471:R474"/>
    <mergeCell ref="S471:S474"/>
    <mergeCell ref="T471:T474"/>
    <mergeCell ref="U471:U474"/>
    <mergeCell ref="V471:V474"/>
    <mergeCell ref="W471:W474"/>
    <mergeCell ref="X471:X474"/>
    <mergeCell ref="Y471:Y474"/>
    <mergeCell ref="G470:G475"/>
    <mergeCell ref="H476:H481"/>
    <mergeCell ref="I476:I481"/>
    <mergeCell ref="J476:J481"/>
    <mergeCell ref="K476:K481"/>
    <mergeCell ref="L476:L481"/>
    <mergeCell ref="M476:M481"/>
    <mergeCell ref="AF476:AF481"/>
    <mergeCell ref="AG476:AG481"/>
    <mergeCell ref="AH476:AH481"/>
    <mergeCell ref="AI476:AI481"/>
    <mergeCell ref="AJ476:AJ481"/>
    <mergeCell ref="AK476:AK481"/>
    <mergeCell ref="N477:N480"/>
    <mergeCell ref="O477:O480"/>
    <mergeCell ref="P477:P480"/>
    <mergeCell ref="Q477:Q480"/>
    <mergeCell ref="R477:R480"/>
    <mergeCell ref="S477:S480"/>
    <mergeCell ref="T477:T480"/>
    <mergeCell ref="U477:U480"/>
    <mergeCell ref="V477:V480"/>
    <mergeCell ref="W477:W480"/>
    <mergeCell ref="X477:X480"/>
    <mergeCell ref="Y477:Y480"/>
    <mergeCell ref="G476:G481"/>
    <mergeCell ref="H482:H487"/>
    <mergeCell ref="I482:I487"/>
    <mergeCell ref="J482:J487"/>
    <mergeCell ref="K482:K487"/>
    <mergeCell ref="L482:L487"/>
    <mergeCell ref="M482:M487"/>
    <mergeCell ref="AF482:AF487"/>
    <mergeCell ref="AG482:AG487"/>
    <mergeCell ref="AH482:AH487"/>
    <mergeCell ref="AI482:AI487"/>
    <mergeCell ref="AJ482:AJ487"/>
    <mergeCell ref="AK482:AK487"/>
    <mergeCell ref="N483:N486"/>
    <mergeCell ref="O483:O486"/>
    <mergeCell ref="P483:P486"/>
    <mergeCell ref="Q483:Q486"/>
    <mergeCell ref="R483:R486"/>
    <mergeCell ref="S483:S486"/>
    <mergeCell ref="T483:T486"/>
    <mergeCell ref="U483:U486"/>
    <mergeCell ref="V483:V486"/>
    <mergeCell ref="W483:W486"/>
    <mergeCell ref="X483:X486"/>
    <mergeCell ref="Y483:Y486"/>
    <mergeCell ref="G482:G487"/>
    <mergeCell ref="H488:H492"/>
    <mergeCell ref="I488:I492"/>
    <mergeCell ref="J488:J492"/>
    <mergeCell ref="K488:K492"/>
    <mergeCell ref="L488:L492"/>
    <mergeCell ref="M488:M492"/>
    <mergeCell ref="AF488:AF492"/>
    <mergeCell ref="AG488:AG492"/>
    <mergeCell ref="AH488:AH492"/>
    <mergeCell ref="AI488:AI492"/>
    <mergeCell ref="AJ488:AJ492"/>
    <mergeCell ref="AK488:AK492"/>
    <mergeCell ref="N489:N491"/>
    <mergeCell ref="O489:O491"/>
    <mergeCell ref="P489:P491"/>
    <mergeCell ref="Q489:Q491"/>
    <mergeCell ref="R489:R491"/>
    <mergeCell ref="S489:S491"/>
    <mergeCell ref="T489:T491"/>
    <mergeCell ref="U489:U491"/>
    <mergeCell ref="V489:V491"/>
    <mergeCell ref="W489:W491"/>
    <mergeCell ref="X489:X491"/>
    <mergeCell ref="Y489:Y491"/>
    <mergeCell ref="G488:G492"/>
    <mergeCell ref="H493:H498"/>
    <mergeCell ref="I493:I498"/>
    <mergeCell ref="J493:J498"/>
    <mergeCell ref="K493:K498"/>
    <mergeCell ref="L493:L498"/>
    <mergeCell ref="M493:M498"/>
    <mergeCell ref="AF493:AF498"/>
    <mergeCell ref="AG493:AG498"/>
    <mergeCell ref="AH493:AH498"/>
    <mergeCell ref="AI493:AI498"/>
    <mergeCell ref="AJ493:AJ498"/>
    <mergeCell ref="AK493:AK498"/>
    <mergeCell ref="N494:N497"/>
    <mergeCell ref="O494:O497"/>
    <mergeCell ref="P494:P497"/>
    <mergeCell ref="Q494:Q497"/>
    <mergeCell ref="R494:R497"/>
    <mergeCell ref="S494:S497"/>
    <mergeCell ref="T494:T497"/>
    <mergeCell ref="U494:U497"/>
    <mergeCell ref="V494:V497"/>
    <mergeCell ref="W494:W497"/>
    <mergeCell ref="X494:X497"/>
    <mergeCell ref="Y494:Y497"/>
    <mergeCell ref="G493:G498"/>
    <mergeCell ref="H499:H504"/>
    <mergeCell ref="I499:I504"/>
    <mergeCell ref="J499:J504"/>
    <mergeCell ref="K499:K504"/>
    <mergeCell ref="L499:L504"/>
    <mergeCell ref="M499:M504"/>
    <mergeCell ref="AF499:AF504"/>
    <mergeCell ref="AG499:AG504"/>
    <mergeCell ref="AH499:AH504"/>
    <mergeCell ref="AI499:AI504"/>
    <mergeCell ref="AJ499:AJ504"/>
    <mergeCell ref="AK499:AK504"/>
    <mergeCell ref="N500:N503"/>
    <mergeCell ref="O500:O503"/>
    <mergeCell ref="P500:P503"/>
    <mergeCell ref="Q500:Q503"/>
    <mergeCell ref="R500:R503"/>
    <mergeCell ref="S500:S503"/>
    <mergeCell ref="T500:T503"/>
    <mergeCell ref="U500:U503"/>
    <mergeCell ref="V500:V503"/>
    <mergeCell ref="W500:W503"/>
    <mergeCell ref="X500:X503"/>
    <mergeCell ref="Y500:Y503"/>
    <mergeCell ref="G499:G504"/>
    <mergeCell ref="H505:H509"/>
    <mergeCell ref="I505:I509"/>
    <mergeCell ref="J505:J509"/>
    <mergeCell ref="K505:K509"/>
    <mergeCell ref="L505:L509"/>
    <mergeCell ref="M505:M509"/>
    <mergeCell ref="AF505:AF509"/>
    <mergeCell ref="AG505:AG509"/>
    <mergeCell ref="AH505:AH509"/>
    <mergeCell ref="AI505:AI509"/>
    <mergeCell ref="AJ505:AJ509"/>
    <mergeCell ref="AK505:AK509"/>
    <mergeCell ref="N506:N508"/>
    <mergeCell ref="O506:O508"/>
    <mergeCell ref="P506:P508"/>
    <mergeCell ref="Q506:Q508"/>
    <mergeCell ref="R506:R508"/>
    <mergeCell ref="S506:S508"/>
    <mergeCell ref="T506:T508"/>
    <mergeCell ref="U506:U508"/>
    <mergeCell ref="V506:V508"/>
    <mergeCell ref="W506:W508"/>
    <mergeCell ref="X506:X508"/>
    <mergeCell ref="Y506:Y508"/>
    <mergeCell ref="G505:G509"/>
    <mergeCell ref="H510:H516"/>
    <mergeCell ref="I510:I516"/>
    <mergeCell ref="J510:J516"/>
    <mergeCell ref="K510:K516"/>
    <mergeCell ref="L510:L516"/>
    <mergeCell ref="M510:M516"/>
    <mergeCell ref="AF510:AF516"/>
    <mergeCell ref="AG510:AG516"/>
    <mergeCell ref="AH510:AH516"/>
    <mergeCell ref="AI510:AI516"/>
    <mergeCell ref="AJ510:AJ516"/>
    <mergeCell ref="AK510:AK516"/>
    <mergeCell ref="N511:N515"/>
    <mergeCell ref="O511:O515"/>
    <mergeCell ref="P511:P515"/>
    <mergeCell ref="Q511:Q515"/>
    <mergeCell ref="R511:R515"/>
    <mergeCell ref="S511:S515"/>
    <mergeCell ref="T511:T515"/>
    <mergeCell ref="U511:U515"/>
    <mergeCell ref="V511:V515"/>
    <mergeCell ref="W511:W515"/>
    <mergeCell ref="X511:X515"/>
    <mergeCell ref="Y511:Y515"/>
    <mergeCell ref="G510:G516"/>
    <mergeCell ref="H517:H523"/>
    <mergeCell ref="I517:I523"/>
    <mergeCell ref="J517:J523"/>
    <mergeCell ref="K517:K523"/>
    <mergeCell ref="L517:L523"/>
    <mergeCell ref="M517:M523"/>
    <mergeCell ref="AF517:AF523"/>
    <mergeCell ref="AG517:AG523"/>
    <mergeCell ref="AH517:AH523"/>
    <mergeCell ref="AI517:AI523"/>
    <mergeCell ref="AJ517:AJ523"/>
    <mergeCell ref="AK517:AK523"/>
    <mergeCell ref="N518:N522"/>
    <mergeCell ref="O518:O522"/>
    <mergeCell ref="P518:P522"/>
    <mergeCell ref="Q518:Q522"/>
    <mergeCell ref="R518:R522"/>
    <mergeCell ref="S518:S522"/>
    <mergeCell ref="T518:T522"/>
    <mergeCell ref="U518:U522"/>
    <mergeCell ref="V518:V522"/>
    <mergeCell ref="W518:W522"/>
    <mergeCell ref="X518:X522"/>
    <mergeCell ref="Y518:Y522"/>
    <mergeCell ref="G517:G523"/>
    <mergeCell ref="H524:H530"/>
    <mergeCell ref="I524:I530"/>
    <mergeCell ref="J524:J530"/>
    <mergeCell ref="K524:K530"/>
    <mergeCell ref="L524:L530"/>
    <mergeCell ref="M524:M530"/>
    <mergeCell ref="AF524:AF530"/>
    <mergeCell ref="AG524:AG530"/>
    <mergeCell ref="AH524:AH530"/>
    <mergeCell ref="AI524:AI530"/>
    <mergeCell ref="AJ524:AJ530"/>
    <mergeCell ref="AK524:AK530"/>
    <mergeCell ref="N525:N529"/>
    <mergeCell ref="O525:O529"/>
    <mergeCell ref="P525:P529"/>
    <mergeCell ref="Q525:Q529"/>
    <mergeCell ref="R525:R529"/>
    <mergeCell ref="S525:S529"/>
    <mergeCell ref="T525:T529"/>
    <mergeCell ref="U525:U529"/>
    <mergeCell ref="V525:V529"/>
    <mergeCell ref="W525:W529"/>
    <mergeCell ref="X525:X529"/>
    <mergeCell ref="Y525:Y529"/>
    <mergeCell ref="G524:G530"/>
    <mergeCell ref="H531:H536"/>
    <mergeCell ref="I531:I536"/>
    <mergeCell ref="J531:J536"/>
    <mergeCell ref="K531:K536"/>
    <mergeCell ref="L531:L536"/>
    <mergeCell ref="M531:M536"/>
    <mergeCell ref="AF531:AF536"/>
    <mergeCell ref="AG531:AG536"/>
    <mergeCell ref="AH531:AH536"/>
    <mergeCell ref="AI531:AI536"/>
    <mergeCell ref="AJ531:AJ536"/>
    <mergeCell ref="AK531:AK536"/>
    <mergeCell ref="N532:N535"/>
    <mergeCell ref="O532:O535"/>
    <mergeCell ref="P532:P535"/>
    <mergeCell ref="Q532:Q535"/>
    <mergeCell ref="R532:R535"/>
    <mergeCell ref="S532:S535"/>
    <mergeCell ref="T532:T535"/>
    <mergeCell ref="U532:U535"/>
    <mergeCell ref="V532:V535"/>
    <mergeCell ref="W532:W535"/>
    <mergeCell ref="X532:X535"/>
    <mergeCell ref="Y532:Y535"/>
    <mergeCell ref="G531:G536"/>
    <mergeCell ref="H537:H542"/>
    <mergeCell ref="I537:I542"/>
    <mergeCell ref="J537:J542"/>
    <mergeCell ref="K537:K542"/>
    <mergeCell ref="L537:L542"/>
    <mergeCell ref="M537:M542"/>
    <mergeCell ref="AF537:AF542"/>
    <mergeCell ref="AG537:AG542"/>
    <mergeCell ref="AH537:AH542"/>
    <mergeCell ref="AI537:AI542"/>
    <mergeCell ref="AJ537:AJ542"/>
    <mergeCell ref="AK537:AK542"/>
    <mergeCell ref="N538:N541"/>
    <mergeCell ref="O538:O541"/>
    <mergeCell ref="P538:P541"/>
    <mergeCell ref="Q538:Q541"/>
    <mergeCell ref="R538:R541"/>
    <mergeCell ref="S538:S541"/>
    <mergeCell ref="T538:T541"/>
    <mergeCell ref="U538:U541"/>
    <mergeCell ref="V538:V541"/>
    <mergeCell ref="W538:W541"/>
    <mergeCell ref="X538:X541"/>
    <mergeCell ref="Y538:Y541"/>
    <mergeCell ref="G537:G542"/>
    <mergeCell ref="H543:H548"/>
    <mergeCell ref="I543:I548"/>
    <mergeCell ref="J543:J548"/>
    <mergeCell ref="K543:K548"/>
    <mergeCell ref="L543:L548"/>
    <mergeCell ref="M543:M548"/>
    <mergeCell ref="AF543:AF548"/>
    <mergeCell ref="AG543:AG548"/>
    <mergeCell ref="AH543:AH548"/>
    <mergeCell ref="AI543:AI548"/>
    <mergeCell ref="AJ543:AJ548"/>
    <mergeCell ref="AK543:AK548"/>
    <mergeCell ref="N544:N547"/>
    <mergeCell ref="O544:O547"/>
    <mergeCell ref="P544:P547"/>
    <mergeCell ref="Q544:Q547"/>
    <mergeCell ref="R544:R547"/>
    <mergeCell ref="S544:S547"/>
    <mergeCell ref="T544:T547"/>
    <mergeCell ref="U544:U547"/>
    <mergeCell ref="V544:V547"/>
    <mergeCell ref="W544:W547"/>
    <mergeCell ref="X544:X547"/>
    <mergeCell ref="Y544:Y547"/>
    <mergeCell ref="G543:G548"/>
    <mergeCell ref="H549:H554"/>
    <mergeCell ref="I549:I554"/>
    <mergeCell ref="J549:J554"/>
    <mergeCell ref="K549:K554"/>
    <mergeCell ref="L549:L554"/>
    <mergeCell ref="M549:M554"/>
    <mergeCell ref="AF549:AF554"/>
    <mergeCell ref="AG549:AG554"/>
    <mergeCell ref="AH549:AH554"/>
    <mergeCell ref="AI549:AI554"/>
    <mergeCell ref="AJ549:AJ554"/>
    <mergeCell ref="AK549:AK554"/>
    <mergeCell ref="N550:N553"/>
    <mergeCell ref="O550:O553"/>
    <mergeCell ref="P550:P553"/>
    <mergeCell ref="Q550:Q553"/>
    <mergeCell ref="R550:R553"/>
    <mergeCell ref="S550:S553"/>
    <mergeCell ref="T550:T553"/>
    <mergeCell ref="U550:U553"/>
    <mergeCell ref="V550:V553"/>
    <mergeCell ref="W550:W553"/>
    <mergeCell ref="X550:X553"/>
    <mergeCell ref="Y550:Y553"/>
    <mergeCell ref="G549:G554"/>
    <mergeCell ref="H555:H560"/>
    <mergeCell ref="I555:I560"/>
    <mergeCell ref="J555:J560"/>
    <mergeCell ref="K555:K560"/>
    <mergeCell ref="L555:L560"/>
    <mergeCell ref="M555:M560"/>
    <mergeCell ref="AF555:AF560"/>
    <mergeCell ref="AG555:AG560"/>
    <mergeCell ref="AH555:AH560"/>
    <mergeCell ref="AI555:AI560"/>
    <mergeCell ref="AJ555:AJ560"/>
    <mergeCell ref="AK555:AK560"/>
    <mergeCell ref="N556:N559"/>
    <mergeCell ref="O556:O559"/>
    <mergeCell ref="P556:P559"/>
    <mergeCell ref="Q556:Q559"/>
    <mergeCell ref="R556:R559"/>
    <mergeCell ref="S556:S559"/>
    <mergeCell ref="T556:T559"/>
    <mergeCell ref="U556:U559"/>
    <mergeCell ref="V556:V559"/>
    <mergeCell ref="W556:W559"/>
    <mergeCell ref="X556:X559"/>
    <mergeCell ref="Y556:Y559"/>
    <mergeCell ref="G555:G560"/>
    <mergeCell ref="H561:H566"/>
    <mergeCell ref="I561:I566"/>
    <mergeCell ref="J561:J566"/>
    <mergeCell ref="K561:K566"/>
    <mergeCell ref="L561:L566"/>
    <mergeCell ref="M561:M566"/>
    <mergeCell ref="AF561:AF566"/>
    <mergeCell ref="AG561:AG566"/>
    <mergeCell ref="AH561:AH566"/>
    <mergeCell ref="AI561:AI566"/>
    <mergeCell ref="AJ561:AJ566"/>
    <mergeCell ref="AK561:AK566"/>
    <mergeCell ref="N562:N565"/>
    <mergeCell ref="O562:O565"/>
    <mergeCell ref="P562:P565"/>
    <mergeCell ref="Q562:Q565"/>
    <mergeCell ref="R562:R565"/>
    <mergeCell ref="S562:S565"/>
    <mergeCell ref="T562:T565"/>
    <mergeCell ref="U562:U565"/>
    <mergeCell ref="V562:V565"/>
    <mergeCell ref="W562:W565"/>
    <mergeCell ref="X562:X565"/>
    <mergeCell ref="Y562:Y565"/>
    <mergeCell ref="G561:G566"/>
    <mergeCell ref="H567:H571"/>
    <mergeCell ref="I567:I571"/>
    <mergeCell ref="J567:J571"/>
    <mergeCell ref="K567:K571"/>
    <mergeCell ref="L567:L571"/>
    <mergeCell ref="M567:M571"/>
    <mergeCell ref="AF567:AF571"/>
    <mergeCell ref="AG567:AG571"/>
    <mergeCell ref="AH567:AH571"/>
    <mergeCell ref="AI567:AI571"/>
    <mergeCell ref="AJ567:AJ571"/>
    <mergeCell ref="AK567:AK571"/>
    <mergeCell ref="N568:N570"/>
    <mergeCell ref="O568:O570"/>
    <mergeCell ref="P568:P570"/>
    <mergeCell ref="Q568:Q570"/>
    <mergeCell ref="R568:R570"/>
    <mergeCell ref="S568:S570"/>
    <mergeCell ref="T568:T570"/>
    <mergeCell ref="U568:U570"/>
    <mergeCell ref="V568:V570"/>
    <mergeCell ref="W568:W570"/>
    <mergeCell ref="X568:X570"/>
    <mergeCell ref="Y568:Y570"/>
    <mergeCell ref="G567:G571"/>
    <mergeCell ref="H572:H576"/>
    <mergeCell ref="I572:I576"/>
    <mergeCell ref="J572:J576"/>
    <mergeCell ref="K572:K576"/>
    <mergeCell ref="L572:L576"/>
    <mergeCell ref="M572:M576"/>
    <mergeCell ref="AF572:AF576"/>
    <mergeCell ref="AG572:AG576"/>
    <mergeCell ref="AH572:AH576"/>
    <mergeCell ref="AI572:AI576"/>
    <mergeCell ref="AJ572:AJ576"/>
    <mergeCell ref="AK572:AK576"/>
    <mergeCell ref="N573:N575"/>
    <mergeCell ref="O573:O575"/>
    <mergeCell ref="P573:P575"/>
    <mergeCell ref="Q573:Q575"/>
    <mergeCell ref="R573:R575"/>
    <mergeCell ref="S573:S575"/>
    <mergeCell ref="T573:T575"/>
    <mergeCell ref="U573:U575"/>
    <mergeCell ref="V573:V575"/>
    <mergeCell ref="W573:W575"/>
    <mergeCell ref="X573:X575"/>
    <mergeCell ref="Y573:Y575"/>
    <mergeCell ref="G572:G576"/>
    <mergeCell ref="H577:H581"/>
    <mergeCell ref="I577:I581"/>
    <mergeCell ref="J577:J581"/>
    <mergeCell ref="K577:K581"/>
    <mergeCell ref="L577:L581"/>
    <mergeCell ref="M577:M581"/>
    <mergeCell ref="AF577:AF581"/>
    <mergeCell ref="AG577:AG581"/>
    <mergeCell ref="AH577:AH581"/>
    <mergeCell ref="AI577:AI581"/>
    <mergeCell ref="AJ577:AJ581"/>
    <mergeCell ref="AK577:AK581"/>
    <mergeCell ref="N578:N580"/>
    <mergeCell ref="O578:O580"/>
    <mergeCell ref="P578:P580"/>
    <mergeCell ref="Q578:Q580"/>
    <mergeCell ref="R578:R580"/>
    <mergeCell ref="S578:S580"/>
    <mergeCell ref="T578:T580"/>
    <mergeCell ref="U578:U580"/>
    <mergeCell ref="V578:V580"/>
    <mergeCell ref="W578:W580"/>
    <mergeCell ref="X578:X580"/>
    <mergeCell ref="Y578:Y580"/>
    <mergeCell ref="G577:G581"/>
    <mergeCell ref="H582:H587"/>
    <mergeCell ref="I582:I587"/>
    <mergeCell ref="J582:J587"/>
    <mergeCell ref="K582:K587"/>
    <mergeCell ref="L582:L587"/>
    <mergeCell ref="M582:M587"/>
    <mergeCell ref="AF582:AF587"/>
    <mergeCell ref="AG582:AG587"/>
    <mergeCell ref="AH582:AH587"/>
    <mergeCell ref="AI582:AI587"/>
    <mergeCell ref="AJ582:AJ587"/>
    <mergeCell ref="AK582:AK587"/>
    <mergeCell ref="N583:N586"/>
    <mergeCell ref="O583:O586"/>
    <mergeCell ref="P583:P586"/>
    <mergeCell ref="Q583:Q586"/>
    <mergeCell ref="R583:R586"/>
    <mergeCell ref="S583:S586"/>
    <mergeCell ref="T583:T586"/>
    <mergeCell ref="U583:U586"/>
    <mergeCell ref="V583:V586"/>
    <mergeCell ref="W583:W586"/>
    <mergeCell ref="X583:X586"/>
    <mergeCell ref="Y583:Y586"/>
    <mergeCell ref="G582:G587"/>
    <mergeCell ref="H588:H592"/>
    <mergeCell ref="I588:I592"/>
    <mergeCell ref="J588:J592"/>
    <mergeCell ref="K588:K592"/>
    <mergeCell ref="L588:L592"/>
    <mergeCell ref="M588:M592"/>
    <mergeCell ref="AF588:AF592"/>
    <mergeCell ref="AG588:AG592"/>
    <mergeCell ref="AH588:AH592"/>
    <mergeCell ref="AI588:AI592"/>
    <mergeCell ref="AJ588:AJ592"/>
    <mergeCell ref="AK588:AK592"/>
    <mergeCell ref="N589:N591"/>
    <mergeCell ref="O589:O591"/>
    <mergeCell ref="P589:P591"/>
    <mergeCell ref="Q589:Q591"/>
    <mergeCell ref="R589:R591"/>
    <mergeCell ref="S589:S591"/>
    <mergeCell ref="T589:T591"/>
    <mergeCell ref="U589:U591"/>
    <mergeCell ref="V589:V591"/>
    <mergeCell ref="W589:W591"/>
    <mergeCell ref="X589:X591"/>
    <mergeCell ref="Y589:Y591"/>
    <mergeCell ref="G588:G592"/>
    <mergeCell ref="H593:H597"/>
    <mergeCell ref="I593:I597"/>
    <mergeCell ref="J593:J597"/>
    <mergeCell ref="K593:K597"/>
    <mergeCell ref="L593:L597"/>
    <mergeCell ref="M593:M597"/>
    <mergeCell ref="AF593:AF597"/>
    <mergeCell ref="AG593:AG597"/>
    <mergeCell ref="AH593:AH597"/>
    <mergeCell ref="AI593:AI597"/>
    <mergeCell ref="AJ593:AJ597"/>
    <mergeCell ref="AK593:AK597"/>
    <mergeCell ref="N594:N596"/>
    <mergeCell ref="O594:O596"/>
    <mergeCell ref="P594:P596"/>
    <mergeCell ref="Q594:Q596"/>
    <mergeCell ref="R594:R596"/>
    <mergeCell ref="S594:S596"/>
    <mergeCell ref="T594:T596"/>
    <mergeCell ref="U594:U596"/>
    <mergeCell ref="V594:V596"/>
    <mergeCell ref="W594:W596"/>
    <mergeCell ref="X594:X596"/>
    <mergeCell ref="Y594:Y596"/>
    <mergeCell ref="G593:G597"/>
    <mergeCell ref="H598:H603"/>
    <mergeCell ref="I598:I603"/>
    <mergeCell ref="J598:J603"/>
    <mergeCell ref="K598:K603"/>
    <mergeCell ref="L598:L603"/>
    <mergeCell ref="M598:M603"/>
    <mergeCell ref="AF598:AF603"/>
    <mergeCell ref="AG598:AG603"/>
    <mergeCell ref="AH598:AH603"/>
    <mergeCell ref="AI598:AI603"/>
    <mergeCell ref="AJ598:AJ603"/>
    <mergeCell ref="AK598:AK603"/>
    <mergeCell ref="N599:N602"/>
    <mergeCell ref="O599:O602"/>
    <mergeCell ref="P599:P602"/>
    <mergeCell ref="Q599:Q602"/>
    <mergeCell ref="R599:R602"/>
    <mergeCell ref="S599:S602"/>
    <mergeCell ref="T599:T602"/>
    <mergeCell ref="U599:U602"/>
    <mergeCell ref="V599:V602"/>
    <mergeCell ref="W599:W602"/>
    <mergeCell ref="X599:X602"/>
    <mergeCell ref="Y599:Y602"/>
    <mergeCell ref="G598:G603"/>
  </mergeCells>
  <dataValidations count="3188">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decimal" allowBlank="1" showErrorMessage="1" errorTitle="Ошибка" error="Допускается ввод только неотрицательных чисел!" sqref="AE601">
      <formula1>0</formula1>
      <formula2>9.99999999999999E+23</formula2>
    </dataValidation>
    <dataValidation type="decimal" allowBlank="1" showErrorMessage="1" errorTitle="Ошибка" error="Допускается ввод только неотрицательных чисел!" sqref="AC601">
      <formula1>0</formula1>
      <formula2>9.99999999999999E+23</formula2>
    </dataValidation>
    <dataValidation type="textLength" operator="lessThanOrEqual" allowBlank="1" showInputMessage="1" showErrorMessage="1" errorTitle="Ошибка" error="Допускается ввод не более 900 символов!" sqref="K6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decimal" allowBlank="1" showErrorMessage="1" errorTitle="Ошибка" error="Допускается ввод только неотрицательных чисел!" sqref="AE600">
      <formula1>0</formula1>
      <formula2>9.99999999999999E+23</formula2>
    </dataValidation>
    <dataValidation type="decimal" allowBlank="1" showErrorMessage="1" errorTitle="Ошибка" error="Допускается ввод только неотрицательных чисел!" sqref="AC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textLength" operator="lessThanOrEqual" allowBlank="1" showInputMessage="1" showErrorMessage="1" errorTitle="Ошибка" error="Допускается ввод не более 900 символов!" sqref="M598">
      <formula1>900</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decimal" allowBlank="1" showErrorMessage="1" errorTitle="Ошибка" error="Допускается ввод только неотрицательных чисел!" sqref="AE595">
      <formula1>0</formula1>
      <formula2>9.99999999999999E+23</formula2>
    </dataValidation>
    <dataValidation type="decimal" allowBlank="1" showErrorMessage="1" errorTitle="Ошибка" error="Допускается ввод только неотрицательных чисел!" sqref="AC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M593">
      <formula1>900</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decimal" allowBlank="1" showErrorMessage="1" errorTitle="Ошибка" error="Допускается ввод только неотрицательных чисел!" sqref="AE590">
      <formula1>0</formula1>
      <formula2>9.99999999999999E+23</formula2>
    </dataValidation>
    <dataValidation type="decimal" allowBlank="1" showErrorMessage="1" errorTitle="Ошибка" error="Допускается ввод только неотрицательных чисел!" sqref="AC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textLength" operator="lessThanOrEqual" allowBlank="1" showInputMessage="1" showErrorMessage="1" errorTitle="Ошибка" error="Допускается ввод не более 900 символов!" sqref="M588">
      <formula1>900</formula1>
    </dataValidation>
    <dataValidation type="textLength" operator="lessThanOrEqual" allowBlank="1" showInputMessage="1" showErrorMessage="1" errorTitle="Ошибка" error="Допускается ввод не более 900 символов!" sqref="K5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8">
      <formula1>"a"</formula1>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decimal" allowBlank="1" showErrorMessage="1" errorTitle="Ошибка" error="Допускается ввод только неотрицательных чисел!" sqref="AE584">
      <formula1>0</formula1>
      <formula2>9.99999999999999E+23</formula2>
    </dataValidation>
    <dataValidation type="decimal" allowBlank="1" showErrorMessage="1" errorTitle="Ошибка" error="Допускается ввод только неотрицательных чисел!" sqref="AC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M582">
      <formula1>900</formula1>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textLength" operator="lessThanOrEqual" allowBlank="1" showInputMessage="1" showErrorMessage="1" errorTitle="Ошибка" error="Допускается ввод не более 900 символов!" sqref="M577">
      <formula1>900</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textLength" operator="lessThanOrEqual" allowBlank="1" showInputMessage="1" showErrorMessage="1" errorTitle="Ошибка" error="Допускается ввод не более 900 символов!" sqref="M572">
      <formula1>900</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decimal" allowBlank="1" showErrorMessage="1" errorTitle="Ошибка" error="Допускается ввод только неотрицательных чисел!" sqref="AE528">
      <formula1>0</formula1>
      <formula2>9.99999999999999E+23</formula2>
    </dataValidation>
    <dataValidation type="decimal" allowBlank="1" showErrorMessage="1" errorTitle="Ошибка" error="Допускается ввод только неотрицательных чисел!" sqref="AC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textLength" operator="lessThanOrEqual" allowBlank="1" showInputMessage="1" showErrorMessage="1" errorTitle="Ошибка" error="Допускается ввод не более 900 символов!" sqref="K5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decimal" allowBlank="1" showErrorMessage="1" errorTitle="Ошибка" error="Допускается ввод только неотрицательных чисел!" sqref="AE461">
      <formula1>0</formula1>
      <formula2>9.99999999999999E+23</formula2>
    </dataValidation>
    <dataValidation type="decimal" allowBlank="1" showErrorMessage="1" errorTitle="Ошибка" error="Допускается ввод только неотрицательных чисел!" sqref="AC461">
      <formula1>0</formula1>
      <formula2>9.99999999999999E+23</formula2>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decimal" allowBlank="1" showErrorMessage="1" errorTitle="Ошибка" error="Допускается ввод только неотрицательных чисел!" sqref="AE363">
      <formula1>0</formula1>
      <formula2>9.99999999999999E+23</formula2>
    </dataValidation>
    <dataValidation type="decimal" allowBlank="1" showErrorMessage="1" errorTitle="Ошибка" error="Допускается ввод только неотрицательных чисел!" sqref="AC363">
      <formula1>0</formula1>
      <formula2>9.99999999999999E+23</formula2>
    </dataValidation>
    <dataValidation type="textLength" operator="lessThanOrEqual" allowBlank="1" showInputMessage="1" showErrorMessage="1" errorTitle="Ошибка" error="Допускается ввод не более 900 символов!" sqref="K3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decimal" allowBlank="1" showErrorMessage="1" errorTitle="Ошибка" error="Допускается ввод только неотрицательных чисел!" sqref="AE314">
      <formula1>0</formula1>
      <formula2>9.99999999999999E+23</formula2>
    </dataValidation>
    <dataValidation type="decimal" allowBlank="1" showErrorMessage="1" errorTitle="Ошибка" error="Допускается ввод только неотрицательных чисел!" sqref="AC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textLength" operator="lessThanOrEqual" allowBlank="1" showInputMessage="1" showErrorMessage="1" errorTitle="Ошибка" error="Допускается ввод не более 900 символов!" sqref="K605">
      <formula1>900</formula1>
    </dataValidation>
    <dataValidation type="textLength" operator="lessThanOrEqual" allowBlank="1" showInputMessage="1" showErrorMessage="1" errorTitle="Ошибка" error="Допускается ввод не более 900 символов!" sqref="M605">
      <formula1>900</formula1>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decimal" allowBlank="1" showErrorMessage="1" errorTitle="Ошибка" error="Допускается ввод только неотрицательных чисел!" sqref="AC607">
      <formula1>0</formula1>
      <formula2>9.99999999999999E+23</formula2>
    </dataValidation>
    <dataValidation type="decimal" allowBlank="1" showErrorMessage="1" errorTitle="Ошибка" error="Допускается ввод только неотрицательных чисел!" sqref="AE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textLength" operator="lessThanOrEqual" allowBlank="1" showInputMessage="1" showErrorMessage="1" errorTitle="Ошибка" error="Допускается ввод не более 900 символов!" sqref="K611">
      <formula1>900</formula1>
    </dataValidation>
    <dataValidation type="textLength" operator="lessThanOrEqual" allowBlank="1" showInputMessage="1" showErrorMessage="1" errorTitle="Ошибка" error="Допускается ввод не более 900 символов!" sqref="M611">
      <formula1>900</formula1>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decimal" allowBlank="1" showErrorMessage="1" errorTitle="Ошибка" error="Допускается ввод только неотрицательных чисел!" sqref="AC613">
      <formula1>0</formula1>
      <formula2>9.99999999999999E+23</formula2>
    </dataValidation>
    <dataValidation type="decimal" allowBlank="1" showErrorMessage="1" errorTitle="Ошибка" error="Допускается ввод только неотрицательных чисел!" sqref="AE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textLength" operator="lessThanOrEqual" allowBlank="1" showInputMessage="1" showErrorMessage="1" errorTitle="Ошибка" error="Допускается ввод не более 900 символов!" sqref="M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textLength" operator="lessThanOrEqual" allowBlank="1" showInputMessage="1" showErrorMessage="1" errorTitle="Ошибка" error="Допускается ввод не более 900 символов!" sqref="M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decimal" allowBlank="1" showErrorMessage="1" errorTitle="Ошибка" error="Допускается ввод только неотрицательных чисел!" sqref="AC625">
      <formula1>0</formula1>
      <formula2>9.99999999999999E+23</formula2>
    </dataValidation>
    <dataValidation type="decimal" allowBlank="1" showErrorMessage="1" errorTitle="Ошибка" error="Допускается ввод только неотрицательных чисел!" sqref="AE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textLength" operator="lessThanOrEqual" allowBlank="1" showInputMessage="1" showErrorMessage="1" errorTitle="Ошибка" error="Допускается ввод не более 900 символов!" sqref="K626">
      <formula1>900</formula1>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textLength" operator="lessThanOrEqual" allowBlank="1" showInputMessage="1" showErrorMessage="1" errorTitle="Ошибка" error="Допускается ввод не более 900 символов!" sqref="M629">
      <formula1>900</formula1>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decimal" allowBlank="1" showErrorMessage="1" errorTitle="Ошибка" error="Допускается ввод только неотрицательных чисел!" sqref="AC631">
      <formula1>0</formula1>
      <formula2>9.99999999999999E+23</formula2>
    </dataValidation>
    <dataValidation type="decimal" allowBlank="1" showErrorMessage="1" errorTitle="Ошибка" error="Допускается ввод только неотрицательных чисел!" sqref="AE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textLength" operator="lessThanOrEqual" allowBlank="1" showInputMessage="1" showErrorMessage="1" errorTitle="Ошибка" error="Допускается ввод не более 900 символов!" sqref="M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textLength" operator="lessThanOrEqual" allowBlank="1" showInputMessage="1" showErrorMessage="1" errorTitle="Ошибка" error="Допускается ввод не более 900 символов!" sqref="M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textLength" operator="lessThanOrEqual" allowBlank="1" showInputMessage="1" showErrorMessage="1" errorTitle="Ошибка" error="Допускается ввод не более 900 символов!" sqref="M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textLength" operator="lessThanOrEqual" allowBlank="1" showInputMessage="1" showErrorMessage="1" errorTitle="Ошибка" error="Допускается ввод не более 900 символов!" sqref="M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textLength" operator="lessThanOrEqual" allowBlank="1" showInputMessage="1" showErrorMessage="1" errorTitle="Ошибка" error="Допускается ввод не более 900 символов!" sqref="M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textLength" operator="lessThanOrEqual" allowBlank="1" showInputMessage="1" showErrorMessage="1" errorTitle="Ошибка" error="Допускается ввод не более 900 символов!" sqref="M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textLength" operator="lessThanOrEqual" allowBlank="1" showInputMessage="1" showErrorMessage="1" errorTitle="Ошибка" error="Допускается ввод не более 900 символов!" sqref="M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textLength" operator="lessThanOrEqual" allowBlank="1" showInputMessage="1" showErrorMessage="1" errorTitle="Ошибка" error="Допускается ввод не более 900 символов!" sqref="M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textLength" operator="lessThanOrEqual" allowBlank="1" showInputMessage="1" showErrorMessage="1" errorTitle="Ошибка" error="Допускается ввод не более 900 символов!" sqref="M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textLength" operator="lessThanOrEqual" allowBlank="1" showInputMessage="1" showErrorMessage="1" errorTitle="Ошибка" error="Допускается ввод не более 900 символов!" sqref="M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textLength" operator="lessThanOrEqual" allowBlank="1" showInputMessage="1" showErrorMessage="1" errorTitle="Ошибка" error="Допускается ввод не более 900 символов!" sqref="M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textLength" operator="lessThanOrEqual" allowBlank="1" showInputMessage="1" showErrorMessage="1" errorTitle="Ошибка" error="Допускается ввод не более 900 символов!" sqref="M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decimal" allowBlank="1" showErrorMessage="1" errorTitle="Ошибка" error="Допускается ввод только неотрицательных чисел!" sqref="AC325">
      <formula1>0</formula1>
      <formula2>9.99999999999999E+23</formula2>
    </dataValidation>
    <dataValidation type="decimal" allowBlank="1" showErrorMessage="1" errorTitle="Ошибка" error="Допускается ввод только неотрицательных чисел!" sqref="AE325">
      <formula1>0</formula1>
      <formula2>9.99999999999999E+23</formula2>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textLength" operator="lessThanOrEqual" allowBlank="1" showInputMessage="1" showErrorMessage="1" errorTitle="Ошибка" error="Допускается ввод не более 900 символов!" sqref="M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decimal" allowBlank="1" showErrorMessage="1" errorTitle="Ошибка" error="Допускается ввод только неотрицательных чисел!" sqref="AC330">
      <formula1>0</formula1>
      <formula2>9.99999999999999E+23</formula2>
    </dataValidation>
    <dataValidation type="decimal" allowBlank="1" showErrorMessage="1" errorTitle="Ошибка" error="Допускается ввод только неотрицательных чисел!" sqref="AE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textLength" operator="lessThanOrEqual" allowBlank="1" showInputMessage="1" showErrorMessage="1" errorTitle="Ошибка" error="Допускается ввод не более 900 символов!" sqref="M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textLength" operator="lessThanOrEqual" allowBlank="1" showInputMessage="1" showErrorMessage="1" errorTitle="Ошибка" error="Допускается ввод не более 900 символов!" sqref="M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decimal" allowBlank="1" showErrorMessage="1" errorTitle="Ошибка" error="Допускается ввод только неотрицательных чисел!" sqref="AC341">
      <formula1>0</formula1>
      <formula2>9.99999999999999E+23</formula2>
    </dataValidation>
    <dataValidation type="decimal" allowBlank="1" showErrorMessage="1" errorTitle="Ошибка" error="Допускается ввод только неотрицательных чисел!" sqref="AE341">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2">
      <formula1>"a"</formula1>
    </dataValidation>
    <dataValidation type="textLength" operator="lessThanOrEqual" allowBlank="1" showInputMessage="1" showErrorMessage="1" errorTitle="Ошибка" error="Допускается ввод не более 900 символов!" sqref="K342">
      <formula1>900</formula1>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textLength" operator="lessThanOrEqual" allowBlank="1" showInputMessage="1" showErrorMessage="1" errorTitle="Ошибка" error="Допускается ввод не более 900 символов!" sqref="M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textLength" operator="lessThanOrEqual" allowBlank="1" showInputMessage="1" showErrorMessage="1" errorTitle="Ошибка" error="Допускается ввод не более 900 символов!" sqref="M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textLength" operator="lessThanOrEqual" allowBlank="1" showInputMessage="1" showErrorMessage="1" errorTitle="Ошибка" error="Допускается ввод не более 900 символов!" sqref="M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textLength" operator="lessThanOrEqual" allowBlank="1" showInputMessage="1" showErrorMessage="1" errorTitle="Ошибка" error="Допускается ввод не более 900 символов!" sqref="M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textLength" operator="lessThanOrEqual" allowBlank="1" showInputMessage="1" showErrorMessage="1" errorTitle="Ошибка" error="Допускается ввод не более 900 символов!" sqref="M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decimal" allowBlank="1" showErrorMessage="1" errorTitle="Ошибка" error="Допускается ввод только неотрицательных чисел!" sqref="AC368">
      <formula1>0</formula1>
      <formula2>9.99999999999999E+23</formula2>
    </dataValidation>
    <dataValidation type="decimal" allowBlank="1" showErrorMessage="1" errorTitle="Ошибка" error="Допускается ввод только неотрицательных чисел!" sqref="AE368">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textLength" operator="lessThanOrEqual" allowBlank="1" showInputMessage="1" showErrorMessage="1" errorTitle="Ошибка" error="Допускается ввод не более 900 символов!" sqref="M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textLength" operator="lessThanOrEqual" allowBlank="1" showInputMessage="1" showErrorMessage="1" errorTitle="Ошибка" error="Допускается ввод не более 900 символов!" sqref="M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decimal" allowBlank="1" showErrorMessage="1" errorTitle="Ошибка" error="Допускается ввод только неотрицательных чисел!" sqref="AC379">
      <formula1>0</formula1>
      <formula2>9.99999999999999E+23</formula2>
    </dataValidation>
    <dataValidation type="decimal" allowBlank="1" showErrorMessage="1" errorTitle="Ошибка" error="Допускается ввод только неотрицательных чисел!" sqref="AE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textLength" operator="lessThanOrEqual" allowBlank="1" showInputMessage="1" showErrorMessage="1" errorTitle="Ошибка" error="Допускается ввод не более 900 символов!" sqref="M383">
      <formula1>900</formula1>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decimal" allowBlank="1" showErrorMessage="1" errorTitle="Ошибка" error="Допускается ввод только неотрицательных чисел!" sqref="AC385">
      <formula1>0</formula1>
      <formula2>9.99999999999999E+23</formula2>
    </dataValidation>
    <dataValidation type="decimal" allowBlank="1" showErrorMessage="1" errorTitle="Ошибка" error="Допускается ввод только неотрицательных чисел!" sqref="AE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textLength" operator="lessThanOrEqual" allowBlank="1" showInputMessage="1" showErrorMessage="1" errorTitle="Ошибка" error="Допускается ввод не более 900 символов!" sqref="M389">
      <formula1>900</formula1>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decimal" allowBlank="1" showErrorMessage="1" errorTitle="Ошибка" error="Допускается ввод только неотрицательных чисел!" sqref="AC391">
      <formula1>0</formula1>
      <formula2>9.99999999999999E+23</formula2>
    </dataValidation>
    <dataValidation type="decimal" allowBlank="1" showErrorMessage="1" errorTitle="Ошибка" error="Допускается ввод только неотрицательных чисел!" sqref="AE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textLength" operator="lessThanOrEqual" allowBlank="1" showInputMessage="1" showErrorMessage="1" errorTitle="Ошибка" error="Допускается ввод не более 900 символов!" sqref="M395">
      <formula1>900</formula1>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decimal" allowBlank="1" showErrorMessage="1" errorTitle="Ошибка" error="Допускается ввод только неотрицательных чисел!" sqref="AC397">
      <formula1>0</formula1>
      <formula2>9.99999999999999E+23</formula2>
    </dataValidation>
    <dataValidation type="decimal" allowBlank="1" showErrorMessage="1" errorTitle="Ошибка" error="Допускается ввод только неотрицательных чисел!" sqref="AE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textLength" operator="lessThanOrEqual" allowBlank="1" showInputMessage="1" showErrorMessage="1" errorTitle="Ошибка" error="Допускается ввод не более 900 символов!" sqref="M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decimal" allowBlank="1" showErrorMessage="1" errorTitle="Ошибка" error="Допускается ввод только неотрицательных чисел!" sqref="AC403">
      <formula1>0</formula1>
      <formula2>9.99999999999999E+23</formula2>
    </dataValidation>
    <dataValidation type="decimal" allowBlank="1" showErrorMessage="1" errorTitle="Ошибка" error="Допускается ввод только неотрицательных чисел!" sqref="AE403">
      <formula1>0</formula1>
      <formula2>9.99999999999999E+23</formula2>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textLength" operator="lessThanOrEqual" allowBlank="1" showInputMessage="1" showErrorMessage="1" errorTitle="Ошибка" error="Допускается ввод не более 900 символов!" sqref="M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decimal" allowBlank="1" showErrorMessage="1" errorTitle="Ошибка" error="Допускается ввод только неотрицательных чисел!" sqref="AC409">
      <formula1>0</formula1>
      <formula2>9.99999999999999E+23</formula2>
    </dataValidation>
    <dataValidation type="decimal" allowBlank="1" showErrorMessage="1" errorTitle="Ошибка" error="Допускается ввод только неотрицательных чисел!" sqref="AE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textLength" operator="lessThanOrEqual" allowBlank="1" showInputMessage="1" showErrorMessage="1" errorTitle="Ошибка" error="Допускается ввод не более 900 символов!" sqref="M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textLength" operator="lessThanOrEqual" allowBlank="1" showInputMessage="1" showErrorMessage="1" errorTitle="Ошибка" error="Допускается ввод не более 900 символов!" sqref="M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decimal" allowBlank="1" showErrorMessage="1" errorTitle="Ошибка" error="Допускается ввод только неотрицательных чисел!" sqref="AC425">
      <formula1>0</formula1>
      <formula2>9.99999999999999E+23</formula2>
    </dataValidation>
    <dataValidation type="decimal" allowBlank="1" showErrorMessage="1" errorTitle="Ошибка" error="Допускается ввод только неотрицательных чисел!" sqref="AE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textLength" operator="lessThanOrEqual" allowBlank="1" showInputMessage="1" showErrorMessage="1" errorTitle="Ошибка" error="Допускается ввод не более 900 символов!" sqref="K426">
      <formula1>900</formula1>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textLength" operator="lessThanOrEqual" allowBlank="1" showInputMessage="1" showErrorMessage="1" errorTitle="Ошибка" error="Допускается ввод не более 900 символов!" sqref="M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decimal" allowBlank="1" showErrorMessage="1" errorTitle="Ошибка" error="Допускается ввод только неотрицательных чисел!" sqref="AC430">
      <formula1>0</formula1>
      <formula2>9.99999999999999E+23</formula2>
    </dataValidation>
    <dataValidation type="decimal" allowBlank="1" showErrorMessage="1" errorTitle="Ошибка" error="Допускается ввод только неотрицательных чисел!" sqref="AE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textLength" operator="lessThanOrEqual" allowBlank="1" showInputMessage="1" showErrorMessage="1" errorTitle="Ошибка" error="Допускается ввод не более 900 символов!" sqref="M434">
      <formula1>900</formula1>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textLength" operator="lessThanOrEqual" allowBlank="1" showInputMessage="1" showErrorMessage="1" errorTitle="Ошибка" error="Допускается ввод не более 900 символов!" sqref="K436">
      <formula1>900</formula1>
    </dataValidation>
    <dataValidation type="decimal" allowBlank="1" showErrorMessage="1" errorTitle="Ошибка" error="Допускается ввод только неотрицательных чисел!" sqref="AC436">
      <formula1>0</formula1>
      <formula2>9.99999999999999E+23</formula2>
    </dataValidation>
    <dataValidation type="decimal" allowBlank="1" showErrorMessage="1" errorTitle="Ошибка" error="Допускается ввод только неотрицательных чисел!" sqref="AE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textLength" operator="lessThanOrEqual" allowBlank="1" showInputMessage="1" showErrorMessage="1" errorTitle="Ошибка" error="Допускается ввод не более 900 символов!" sqref="M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decimal" allowBlank="1" showErrorMessage="1" errorTitle="Ошибка" error="Допускается ввод только неотрицательных чисел!" sqref="AC442">
      <formula1>0</formula1>
      <formula2>9.99999999999999E+23</formula2>
    </dataValidation>
    <dataValidation type="decimal" allowBlank="1" showErrorMessage="1" errorTitle="Ошибка" error="Допускается ввод только неотрицательных чисел!" sqref="AE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textLength" operator="lessThanOrEqual" allowBlank="1" showInputMessage="1" showErrorMessage="1" errorTitle="Ошибка" error="Допускается ввод не более 900 символов!" sqref="M446">
      <formula1>900</formula1>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textLength" operator="lessThanOrEqual" allowBlank="1" showInputMessage="1" showErrorMessage="1" errorTitle="Ошибка" error="Допускается ввод не более 900 символов!" sqref="M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textLength" operator="lessThanOrEqual" allowBlank="1" showInputMessage="1" showErrorMessage="1" errorTitle="Ошибка" error="Допускается ввод не более 900 символов!" sqref="M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decimal" allowBlank="1" showErrorMessage="1" errorTitle="Ошибка" error="Допускается ввод только неотрицательных чисел!" sqref="AC460">
      <formula1>0</formula1>
      <formula2>9.99999999999999E+23</formula2>
    </dataValidation>
    <dataValidation type="decimal" allowBlank="1" showErrorMessage="1" errorTitle="Ошибка" error="Допускается ввод только неотрицательных чисел!" sqref="AE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textLength" operator="lessThanOrEqual" allowBlank="1" showInputMessage="1" showErrorMessage="1" errorTitle="Ошибка" error="Допускается ввод не более 900 символов!" sqref="M464">
      <formula1>900</formula1>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textLength" operator="lessThanOrEqual" allowBlank="1" showInputMessage="1" showErrorMessage="1" errorTitle="Ошибка" error="Допускается ввод не более 900 символов!" sqref="K466">
      <formula1>900</formula1>
    </dataValidation>
    <dataValidation type="decimal" allowBlank="1" showErrorMessage="1" errorTitle="Ошибка" error="Допускается ввод только неотрицательных чисел!" sqref="AC466">
      <formula1>0</formula1>
      <formula2>9.99999999999999E+23</formula2>
    </dataValidation>
    <dataValidation type="decimal" allowBlank="1" showErrorMessage="1" errorTitle="Ошибка" error="Допускается ввод только неотрицательных чисел!" sqref="AE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textLength" operator="lessThanOrEqual" allowBlank="1" showInputMessage="1" showErrorMessage="1" errorTitle="Ошибка" error="Допускается ввод не более 900 символов!" sqref="M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textLength" operator="lessThanOrEqual" allowBlank="1" showInputMessage="1" showErrorMessage="1" errorTitle="Ошибка" error="Допускается ввод не более 900 символов!" sqref="K471">
      <formula1>900</formula1>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decimal" allowBlank="1" showErrorMessage="1" errorTitle="Ошибка" error="Допускается ввод только неотрицательных чисел!" sqref="AC472">
      <formula1>0</formula1>
      <formula2>9.99999999999999E+23</formula2>
    </dataValidation>
    <dataValidation type="decimal" allowBlank="1" showErrorMessage="1" errorTitle="Ошибка" error="Допускается ввод только неотрицательных чисел!" sqref="AE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textLength" operator="lessThanOrEqual" allowBlank="1" showInputMessage="1" showErrorMessage="1" errorTitle="Ошибка" error="Допускается ввод не более 900 символов!" sqref="K476">
      <formula1>900</formula1>
    </dataValidation>
    <dataValidation type="textLength" operator="lessThanOrEqual" allowBlank="1" showInputMessage="1" showErrorMessage="1" errorTitle="Ошибка" error="Допускается ввод не более 900 символов!" sqref="M476">
      <formula1>900</formula1>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decimal" allowBlank="1" showErrorMessage="1" errorTitle="Ошибка" error="Допускается ввод только неотрицательных чисел!" sqref="AC478">
      <formula1>0</formula1>
      <formula2>9.99999999999999E+23</formula2>
    </dataValidation>
    <dataValidation type="decimal" allowBlank="1" showErrorMessage="1" errorTitle="Ошибка" error="Допускается ввод только неотрицательных чисел!" sqref="AE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6">
      <formula1>"a"</formula1>
    </dataValidation>
    <dataValidation type="textLength" operator="lessThanOrEqual" allowBlank="1" showInputMessage="1" showErrorMessage="1" errorTitle="Ошибка" error="Допускается ввод не более 900 символов!" sqref="K486">
      <formula1>900</formula1>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textLength" operator="lessThanOrEqual" allowBlank="1" showInputMessage="1" showErrorMessage="1" errorTitle="Ошибка" error="Допускается ввод не более 900 символов!" sqref="M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decimal" allowBlank="1" showErrorMessage="1" errorTitle="Ошибка" error="Допускается ввод только неотрицательных чисел!" sqref="AC490">
      <formula1>0</formula1>
      <formula2>9.99999999999999E+23</formula2>
    </dataValidation>
    <dataValidation type="decimal" allowBlank="1" showErrorMessage="1" errorTitle="Ошибка" error="Допускается ввод только неотрицательных чисел!" sqref="AE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1">
      <formula1>"a"</formula1>
    </dataValidation>
    <dataValidation type="textLength" operator="lessThanOrEqual" allowBlank="1" showInputMessage="1" showErrorMessage="1" errorTitle="Ошибка" error="Допускается ввод не более 900 символов!" sqref="K491">
      <formula1>900</formula1>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textLength" operator="lessThanOrEqual" allowBlank="1" showInputMessage="1" showErrorMessage="1" errorTitle="Ошибка" error="Допускается ввод не более 900 символов!" sqref="M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textLength" operator="lessThanOrEqual" allowBlank="1" showInputMessage="1" showErrorMessage="1" errorTitle="Ошибка" error="Допускается ввод не более 900 символов!" sqref="M499">
      <formula1>900</formula1>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textLength" operator="lessThanOrEqual" allowBlank="1" showInputMessage="1" showErrorMessage="1" errorTitle="Ошибка" error="Допускается ввод не более 900 символов!" sqref="M505">
      <formula1>900</formula1>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textLength" operator="lessThanOrEqual" allowBlank="1" showInputMessage="1" showErrorMessage="1" errorTitle="Ошибка" error="Допускается ввод не более 900 символов!" sqref="M510">
      <formula1>900</formula1>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decimal" allowBlank="1" showErrorMessage="1" errorTitle="Ошибка" error="Допускается ввод только неотрицательных чисел!" sqref="AC512">
      <formula1>0</formula1>
      <formula2>9.99999999999999E+23</formula2>
    </dataValidation>
    <dataValidation type="decimal" allowBlank="1" showErrorMessage="1" errorTitle="Ошибка" error="Допускается ввод только неотрицательных чисел!" sqref="AE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textLength" operator="lessThanOrEqual" allowBlank="1" showInputMessage="1" showErrorMessage="1" errorTitle="Ошибка" error="Допускается ввод не более 900 символов!" sqref="M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decimal" allowBlank="1" showErrorMessage="1" errorTitle="Ошибка" error="Допускается ввод только неотрицательных чисел!" sqref="AC519">
      <formula1>0</formula1>
      <formula2>9.99999999999999E+23</formula2>
    </dataValidation>
    <dataValidation type="decimal" allowBlank="1" showErrorMessage="1" errorTitle="Ошибка" error="Допускается ввод только неотрицательных чисел!" sqref="AE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textLength" operator="lessThanOrEqual" allowBlank="1" showInputMessage="1" showErrorMessage="1" errorTitle="Ошибка" error="Допускается ввод не более 900 символов!" sqref="M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textLength" operator="lessThanOrEqual" allowBlank="1" showInputMessage="1" showErrorMessage="1" errorTitle="Ошибка" error="Допускается ввод не более 900 символов!" sqref="M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textLength" operator="lessThanOrEqual" allowBlank="1" showInputMessage="1" showErrorMessage="1" errorTitle="Ошибка" error="Допускается ввод не более 900 символов!" sqref="M537">
      <formula1>900</formula1>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textLength" operator="lessThanOrEqual" allowBlank="1" showInputMessage="1" showErrorMessage="1" errorTitle="Ошибка" error="Допускается ввод не более 900 символов!" sqref="M543">
      <formula1>900</formula1>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textLength" operator="lessThanOrEqual" allowBlank="1" showInputMessage="1" showErrorMessage="1" errorTitle="Ошибка" error="Допускается ввод не более 900 символов!" sqref="K545">
      <formula1>900</formula1>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textLength" operator="lessThanOrEqual" allowBlank="1" showInputMessage="1" showErrorMessage="1" errorTitle="Ошибка" error="Допускается ввод не более 900 символов!" sqref="M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textLength" operator="lessThanOrEqual" allowBlank="1" showInputMessage="1" showErrorMessage="1" errorTitle="Ошибка" error="Допускается ввод не более 900 символов!" sqref="K550">
      <formula1>900</formula1>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decimal" allowBlank="1" showErrorMessage="1" errorTitle="Ошибка" error="Допускается ввод только неотрицательных чисел!" sqref="AC551">
      <formula1>0</formula1>
      <formula2>9.99999999999999E+23</formula2>
    </dataValidation>
    <dataValidation type="decimal" allowBlank="1" showErrorMessage="1" errorTitle="Ошибка" error="Допускается ввод только неотрицательных чисел!" sqref="AE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textLength" operator="lessThanOrEqual" allowBlank="1" showInputMessage="1" showErrorMessage="1" errorTitle="Ошибка" error="Допускается ввод не более 900 символов!" sqref="M555">
      <formula1>900</formula1>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decimal" allowBlank="1" showErrorMessage="1" errorTitle="Ошибка" error="Допускается ввод только неотрицательных чисел!" sqref="AC557">
      <formula1>0</formula1>
      <formula2>9.99999999999999E+23</formula2>
    </dataValidation>
    <dataValidation type="decimal" allowBlank="1" showErrorMessage="1" errorTitle="Ошибка" error="Допускается ввод только неотрицательных чисел!" sqref="AE557">
      <formula1>0</formula1>
      <formula2>9.99999999999999E+23</formula2>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textLength" operator="lessThanOrEqual" allowBlank="1" showInputMessage="1" showErrorMessage="1" errorTitle="Ошибка" error="Допускается ввод не более 900 символов!" sqref="M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textLength" operator="lessThanOrEqual" allowBlank="1" showInputMessage="1" showErrorMessage="1" errorTitle="Ошибка" error="Допускается ввод не более 900 символов!" sqref="M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decimal" allowBlank="1" showErrorMessage="1" errorTitle="Ошибка" error="Допускается ввод только неотрицательных чисел!" sqref="AC320">
      <formula1>0</formula1>
      <formula2>9.99999999999999E+23</formula2>
    </dataValidation>
    <dataValidation type="decimal" allowBlank="1" showErrorMessage="1" errorTitle="Ошибка" error="Допускается ввод только неотрицательных чисел!" sqref="AE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decimal" allowBlank="1" showErrorMessage="1" errorTitle="Ошибка" error="Допускается ввод только неотрицательных чисел!" sqref="AC336">
      <formula1>0</formula1>
      <formula2>9.99999999999999E+23</formula2>
    </dataValidation>
    <dataValidation type="decimal" allowBlank="1" showErrorMessage="1" errorTitle="Ошибка" error="Допускается ввод только неотрицательных чисел!" sqref="AE336">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decimal" allowBlank="1" showErrorMessage="1" errorTitle="Ошибка" error="Допускается ввод только неотрицательных чисел!" sqref="AC374">
      <formula1>0</formula1>
      <formula2>9.99999999999999E+23</formula2>
    </dataValidation>
    <dataValidation type="decimal" allowBlank="1" showErrorMessage="1" errorTitle="Ошибка" error="Допускается ввод только неотрицательных чисел!" sqref="AE374">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decimal" allowBlank="1" showErrorMessage="1" errorTitle="Ошибка" error="Допускается ввод только неотрицательных чисел!" sqref="AC380">
      <formula1>0</formula1>
      <formula2>9.99999999999999E+23</formula2>
    </dataValidation>
    <dataValidation type="decimal" allowBlank="1" showErrorMessage="1" errorTitle="Ошибка" error="Допускается ввод только неотрицательных чисел!" sqref="AE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decimal" allowBlank="1" showErrorMessage="1" errorTitle="Ошибка" error="Допускается ввод только неотрицательных чисел!" sqref="AC386">
      <formula1>0</formula1>
      <formula2>9.99999999999999E+23</formula2>
    </dataValidation>
    <dataValidation type="decimal" allowBlank="1" showErrorMessage="1" errorTitle="Ошибка" error="Допускается ввод только неотрицательных чисел!" sqref="AE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decimal" allowBlank="1" showErrorMessage="1" errorTitle="Ошибка" error="Допускается ввод только неотрицательных чисел!" sqref="AC392">
      <formula1>0</formula1>
      <formula2>9.99999999999999E+23</formula2>
    </dataValidation>
    <dataValidation type="decimal" allowBlank="1" showErrorMessage="1" errorTitle="Ошибка" error="Допускается ввод только неотрицательных чисел!" sqref="AE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decimal" allowBlank="1" showErrorMessage="1" errorTitle="Ошибка" error="Допускается ввод только неотрицательных чисел!" sqref="AC398">
      <formula1>0</formula1>
      <formula2>9.99999999999999E+23</formula2>
    </dataValidation>
    <dataValidation type="decimal" allowBlank="1" showErrorMessage="1" errorTitle="Ошибка" error="Допускается ввод только неотрицательных чисел!" sqref="AE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decimal" allowBlank="1" showErrorMessage="1" errorTitle="Ошибка" error="Допускается ввод только неотрицательных чисел!" sqref="AC404">
      <formula1>0</formula1>
      <formula2>9.99999999999999E+23</formula2>
    </dataValidation>
    <dataValidation type="decimal" allowBlank="1" showErrorMessage="1" errorTitle="Ошибка" error="Допускается ввод только неотрицательных чисел!" sqref="AE404">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textLength" operator="lessThanOrEqual" allowBlank="1" showInputMessage="1" showErrorMessage="1" errorTitle="Ошибка" error="Допускается ввод не более 900 символов!" sqref="K431">
      <formula1>900</formula1>
    </dataValidation>
    <dataValidation type="decimal" allowBlank="1" showErrorMessage="1" errorTitle="Ошибка" error="Допускается ввод только неотрицательных чисел!" sqref="AC431">
      <formula1>0</formula1>
      <formula2>9.99999999999999E+23</formula2>
    </dataValidation>
    <dataValidation type="decimal" allowBlank="1" showErrorMessage="1" errorTitle="Ошибка" error="Допускается ввод только неотрицательных чисел!" sqref="AE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decimal" allowBlank="1" showErrorMessage="1" errorTitle="Ошибка" error="Допускается ввод только неотрицательных чисел!" sqref="AC455">
      <formula1>0</formula1>
      <formula2>9.99999999999999E+23</formula2>
    </dataValidation>
    <dataValidation type="decimal" allowBlank="1" showErrorMessage="1" errorTitle="Ошибка" error="Допускается ввод только неотрицательных чисел!" sqref="AE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decimal" allowBlank="1" showErrorMessage="1" errorTitle="Ошибка" error="Допускается ввод только неотрицательных чисел!" sqref="AC467">
      <formula1>0</formula1>
      <formula2>9.99999999999999E+23</formula2>
    </dataValidation>
    <dataValidation type="decimal" allowBlank="1" showErrorMessage="1" errorTitle="Ошибка" error="Допускается ввод только неотрицательных чисел!" sqref="AE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decimal" allowBlank="1" showErrorMessage="1" errorTitle="Ошибка" error="Допускается ввод только неотрицательных чисел!" sqref="AC473">
      <formula1>0</formula1>
      <formula2>9.99999999999999E+23</formula2>
    </dataValidation>
    <dataValidation type="decimal" allowBlank="1" showErrorMessage="1" errorTitle="Ошибка" error="Допускается ввод только неотрицательных чисел!" sqref="AE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decimal" allowBlank="1" showErrorMessage="1" errorTitle="Ошибка" error="Допускается ввод только неотрицательных чисел!" sqref="AC485">
      <formula1>0</formula1>
      <formula2>9.99999999999999E+23</formula2>
    </dataValidation>
    <dataValidation type="decimal" allowBlank="1" showErrorMessage="1" errorTitle="Ошибка" error="Допускается ввод только неотрицательных чисел!" sqref="AE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textLength" operator="lessThanOrEqual" allowBlank="1" showInputMessage="1" showErrorMessage="1" errorTitle="Ошибка" error="Допускается ввод не более 900 символов!" sqref="K496">
      <formula1>900</formula1>
    </dataValidation>
    <dataValidation type="decimal" allowBlank="1" showErrorMessage="1" errorTitle="Ошибка" error="Допускается ввод только неотрицательных чисел!" sqref="AC496">
      <formula1>0</formula1>
      <formula2>9.99999999999999E+23</formula2>
    </dataValidation>
    <dataValidation type="decimal" allowBlank="1" showErrorMessage="1" errorTitle="Ошибка" error="Допускается ввод только неотрицательных чисел!" sqref="AE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decimal" allowBlank="1" showErrorMessage="1" errorTitle="Ошибка" error="Допускается ввод только неотрицательных чисел!" sqref="AC502">
      <formula1>0</formula1>
      <formula2>9.99999999999999E+23</formula2>
    </dataValidation>
    <dataValidation type="decimal" allowBlank="1" showErrorMessage="1" errorTitle="Ошибка" error="Допускается ввод только неотрицательных чисел!" sqref="AE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decimal" allowBlank="1" showErrorMessage="1" errorTitle="Ошибка" error="Допускается ввод только неотрицательных чисел!" sqref="AC513">
      <formula1>0</formula1>
      <formula2>9.99999999999999E+23</formula2>
    </dataValidation>
    <dataValidation type="decimal" allowBlank="1" showErrorMessage="1" errorTitle="Ошибка" error="Допускается ввод только неотрицательных чисел!" sqref="AE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decimal" allowBlank="1" showErrorMessage="1" errorTitle="Ошибка" error="Допускается ввод только неотрицательных чисел!" sqref="AC534">
      <formula1>0</formula1>
      <formula2>9.99999999999999E+23</formula2>
    </dataValidation>
    <dataValidation type="decimal" allowBlank="1" showErrorMessage="1" errorTitle="Ошибка" error="Допускается ввод только неотрицательных чисел!" sqref="AE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decimal" allowBlank="1" showErrorMessage="1" errorTitle="Ошибка" error="Допускается ввод только неотрицательных чисел!" sqref="AC552">
      <formula1>0</formula1>
      <formula2>9.99999999999999E+23</formula2>
    </dataValidation>
    <dataValidation type="decimal" allowBlank="1" showErrorMessage="1" errorTitle="Ошибка" error="Допускается ввод только неотрицательных чисел!" sqref="AE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decimal" allowBlank="1" showErrorMessage="1" errorTitle="Ошибка" error="Допускается ввод только неотрицательных чисел!" sqref="AC564">
      <formula1>0</formula1>
      <formula2>9.99999999999999E+23</formula2>
    </dataValidation>
    <dataValidation type="decimal" allowBlank="1" showErrorMessage="1" errorTitle="Ошибка" error="Допускается ввод только неотрицательных чисел!" sqref="AE564">
      <formula1>0</formula1>
      <formula2>9.99999999999999E+23</formula2>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D91E6A-70AD-C14A-5961-0.451E4FC6}"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1175" width="4.140625" hidden="1" customWidth="1"/>
    <col min="4" max="4" style="1375" width="4.140625" hidden="1" customWidth="1"/>
    <col min="5" max="5" style="1644" width="3.00390625" customWidth="1"/>
    <col min="6" max="6" style="1644" width="6.00390625" customWidth="1"/>
    <col min="7" max="7" style="1644" width="60.00390625" customWidth="1"/>
    <col min="8" max="9" style="1644" width="21.7109375" hidden="1" customWidth="1"/>
    <col min="10" max="10" style="1644" width="0.140625" customWidth="1"/>
    <col min="11" max="17" style="1644" width="21.7109375" hidden="1" customWidth="1"/>
    <col min="18" max="18" style="1644" width="0.140625" customWidth="1"/>
    <col min="19" max="19" style="1644" width="1.00390625" customWidth="1"/>
    <col min="20" max="30" style="1644" width="8.00390625" customWidth="1"/>
    <col min="31" max="31" style="1644" width="9.140625" hidden="1"/>
  </cols>
  <sheetData>
    <row s="1375" customFormat="1" customHeight="1" ht="10.5" hidden="1">
      <c r="A1" s="1175"/>
      <c r="B1" s="1175"/>
      <c r="C1" s="1175"/>
      <c r="E1" s="546"/>
      <c r="K1" s="1375"/>
      <c r="L1" s="1375"/>
      <c r="M1" s="1375"/>
      <c r="N1" s="1375"/>
      <c r="O1" s="1375"/>
      <c r="P1" s="1375"/>
      <c r="Q1" s="1375"/>
      <c r="R1" s="1375"/>
      <c r="AE1" s="1169" t="s">
        <v>14</v>
      </c>
    </row>
    <row customHeight="1" ht="10.5" hidden="1">
      <c r="K2" s="1644"/>
      <c r="L2" s="1644"/>
      <c r="M2" s="1644"/>
      <c r="N2" s="1644"/>
      <c r="O2" s="1644"/>
      <c r="P2" s="1644"/>
      <c r="Q2" s="1644"/>
      <c r="R2" s="1644"/>
      <c r="AE2" s="1164">
        <v>0</v>
      </c>
    </row>
    <row s="1641" customFormat="1" customHeight="1" ht="10.5" hidden="1">
      <c r="A3" s="1175"/>
      <c r="B3" s="1175"/>
      <c r="C3" s="1175"/>
      <c r="D3" s="1169"/>
      <c r="E3" s="371"/>
      <c r="K3" s="1641"/>
      <c r="L3" s="1641"/>
      <c r="M3" s="1641"/>
      <c r="N3" s="1641"/>
      <c r="O3" s="1641"/>
      <c r="P3" s="1641"/>
      <c r="Q3" s="1641"/>
      <c r="R3" s="1641"/>
      <c r="AE3" s="1165">
        <v>0</v>
      </c>
    </row>
    <row customHeight="1" ht="3">
      <c r="K4" s="1644"/>
      <c r="L4" s="1644"/>
      <c r="M4" s="1644"/>
      <c r="N4" s="1644"/>
      <c r="O4" s="1644"/>
      <c r="P4" s="1644"/>
      <c r="Q4" s="1644"/>
      <c r="R4" s="1644"/>
      <c r="AE4" s="1164">
        <v>3</v>
      </c>
    </row>
    <row customHeight="1" ht="27.299999999999997">
      <c r="F5" s="227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76"/>
      <c r="H5" s="2276"/>
      <c r="I5" s="2276"/>
      <c r="J5" s="2276"/>
      <c r="K5" s="2276"/>
      <c r="L5" s="2276"/>
      <c r="M5" s="2276"/>
      <c r="N5" s="2276"/>
      <c r="O5" s="2276"/>
      <c r="P5" s="2276"/>
      <c r="Q5" s="2276"/>
      <c r="R5" s="2276"/>
      <c r="AE5" s="1164">
        <v>26</v>
      </c>
    </row>
    <row customHeight="1" ht="10.5">
      <c r="F6" s="2204" t="str">
        <f>IF(org=0,"Не определено",org)</f>
        <v>АО "ДГК"</v>
      </c>
      <c r="G6" s="2204"/>
      <c r="H6" s="2204"/>
      <c r="I6" s="2204"/>
      <c r="J6" s="2204"/>
      <c r="K6" s="2277"/>
      <c r="L6" s="2277"/>
      <c r="M6" s="2277"/>
      <c r="N6" s="2277"/>
      <c r="O6" s="2277"/>
      <c r="P6" s="2277"/>
      <c r="Q6" s="2277"/>
      <c r="R6" s="2277"/>
      <c r="AE6" s="1164">
        <v>10</v>
      </c>
    </row>
    <row customHeight="1" ht="11.549999999999999">
      <c r="E7" s="1179"/>
      <c r="F7" s="1236"/>
      <c r="G7" s="1236"/>
      <c r="H7" s="1236"/>
      <c r="I7" s="1236"/>
      <c r="J7" s="1236"/>
      <c r="K7" s="1236" t="s">
        <v>22</v>
      </c>
      <c r="L7" s="1236"/>
      <c r="M7" s="1236" t="s">
        <v>22</v>
      </c>
      <c r="N7" s="1236" t="s">
        <v>22</v>
      </c>
      <c r="O7" s="1236" t="s">
        <v>22</v>
      </c>
      <c r="P7" s="1236" t="s">
        <v>22</v>
      </c>
      <c r="Q7" s="1236" t="s">
        <v>22</v>
      </c>
      <c r="R7" s="1236"/>
      <c r="S7" s="1166"/>
      <c r="T7" s="1166"/>
      <c r="U7" s="1166"/>
      <c r="V7" s="1166"/>
      <c r="W7" s="1166"/>
      <c r="X7" s="1166"/>
      <c r="Y7" s="1166"/>
      <c r="Z7" s="1166"/>
      <c r="AA7" s="1166"/>
      <c r="AB7" s="1166"/>
      <c r="AC7" s="1166"/>
      <c r="AD7" s="1166"/>
      <c r="AE7" s="1164">
        <v>11</v>
      </c>
    </row>
    <row s="1651" customFormat="1" customHeight="1" ht="4.2">
      <c r="A8" s="1176"/>
      <c r="B8" s="1176"/>
      <c r="C8" s="1176"/>
      <c r="E8" s="1237"/>
      <c r="F8" s="1238"/>
      <c r="G8" s="1238"/>
      <c r="H8" s="1238"/>
      <c r="I8" s="1238"/>
      <c r="J8" s="1238"/>
      <c r="K8" s="1238" t="s">
        <v>1036</v>
      </c>
      <c r="L8" s="1238"/>
      <c r="M8" s="1238"/>
      <c r="N8" s="1238"/>
      <c r="O8" s="1238"/>
      <c r="P8" s="1238"/>
      <c r="Q8" s="1238"/>
      <c r="R8" s="1238"/>
      <c r="S8" s="1237"/>
      <c r="T8" s="1237"/>
      <c r="U8" s="1237"/>
      <c r="V8" s="1237"/>
      <c r="W8" s="1237"/>
      <c r="X8" s="1237"/>
      <c r="Y8" s="1237"/>
      <c r="Z8" s="1237"/>
      <c r="AA8" s="1237"/>
      <c r="AB8" s="1237"/>
      <c r="AC8" s="1237"/>
      <c r="AD8" s="1237"/>
      <c r="AE8" s="520">
        <v>4</v>
      </c>
    </row>
    <row customHeight="1" ht="10.5">
      <c r="E9" s="1179"/>
      <c r="F9" s="2447" t="s">
        <v>315</v>
      </c>
      <c r="G9" s="2448"/>
      <c r="H9" s="2448"/>
      <c r="I9" s="2448"/>
      <c r="J9" s="2448"/>
      <c r="K9" s="2448"/>
      <c r="L9" s="2448"/>
      <c r="M9" s="2448"/>
      <c r="N9" s="2448"/>
      <c r="O9" s="2448"/>
      <c r="P9" s="2448"/>
      <c r="Q9" s="2448"/>
      <c r="R9" s="2448"/>
      <c r="S9" s="1249"/>
      <c r="T9" s="1166"/>
      <c r="U9" s="1166"/>
      <c r="V9" s="1166"/>
      <c r="W9" s="1166"/>
      <c r="X9" s="1166"/>
      <c r="Y9" s="1166"/>
      <c r="Z9" s="1166"/>
      <c r="AA9" s="1166"/>
      <c r="AB9" s="1166"/>
      <c r="AC9" s="1166"/>
      <c r="AD9" s="1166"/>
      <c r="AE9" s="1164">
        <v>10</v>
      </c>
    </row>
    <row customHeight="1" ht="25.2">
      <c r="E10" s="1166"/>
      <c r="F10" s="2451" t="s">
        <v>89</v>
      </c>
      <c r="G10" s="2456" t="s">
        <v>1322</v>
      </c>
      <c r="H10" s="2454" t="s">
        <v>1323</v>
      </c>
      <c r="I10" s="2454"/>
      <c r="J10" s="2454"/>
      <c r="K10" s="2454" t="s">
        <v>1323</v>
      </c>
      <c r="L10" s="2454"/>
      <c r="M10" s="2454"/>
      <c r="N10" s="2454"/>
      <c r="O10" s="2454"/>
      <c r="P10" s="2454"/>
      <c r="Q10" s="2454"/>
      <c r="R10" s="2454"/>
      <c r="S10" s="1242"/>
      <c r="T10" s="1166"/>
      <c r="U10" s="1166"/>
      <c r="V10" s="1166"/>
      <c r="W10" s="1166"/>
      <c r="X10" s="1166"/>
      <c r="Y10" s="1166"/>
      <c r="Z10" s="1166"/>
      <c r="AA10" s="1166"/>
      <c r="AB10" s="1166"/>
      <c r="AC10" s="1166"/>
      <c r="AD10" s="1166"/>
      <c r="AE10" s="1164">
        <v>24</v>
      </c>
    </row>
    <row customHeight="1" ht="25.5">
      <c r="E11" s="1166"/>
      <c r="F11" s="2452"/>
      <c r="G11" s="2456"/>
      <c r="H11" s="2455">
        <f>INDEX(IP_MAIN_LIST_NAME_IP,MATCH(H8,IP_MAIN_LIST_IP_ID,0))&amp;" ("&amp;INDEX(IP_MAIN_START_DATE,MATCH(H8,IP_MAIN_LIST_IP_ID,0))&amp;"-"&amp;INDEX(IP_MAIN_END_DATE,MATCH(H8,IP_MAIN_LIST_IP_ID,0))&amp;")"</f>
      </c>
      <c r="I11" s="2455"/>
      <c r="J11" s="2455"/>
      <c r="K11" s="2455" t="str">
        <f>INDEX(IP_MAIN_LIST_NAME_IP,MATCH(K8,IP_MAIN_LIST_IP_ID,0))&amp;" ("&amp;INDEX(IP_MAIN_START_DATE,MATCH(K8,IP_MAIN_LIST_IP_ID,0))&amp;"-"&amp;INDEX(IP_MAIN_END_DATE,MATCH(K8,IP_MAIN_LIST_IP_ID,0))&amp;")"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L11" s="2455"/>
      <c r="M11" s="2455"/>
      <c r="N11" s="2455"/>
      <c r="O11" s="2455"/>
      <c r="P11" s="2455"/>
      <c r="Q11" s="2455"/>
      <c r="R11" s="2455"/>
      <c r="S11" s="1242"/>
      <c r="T11" s="1166"/>
      <c r="U11" s="1166"/>
      <c r="V11" s="1166"/>
      <c r="W11" s="1166"/>
      <c r="X11" s="1166"/>
      <c r="Y11" s="1166"/>
      <c r="Z11" s="1166"/>
      <c r="AA11" s="1166"/>
      <c r="AB11" s="1166"/>
      <c r="AC11" s="1166"/>
      <c r="AD11" s="1166"/>
      <c r="AE11" s="1164">
        <v>24</v>
      </c>
    </row>
    <row customHeight="1" ht="10.5">
      <c r="F12" s="2453"/>
      <c r="G12" s="2456"/>
      <c r="H12" s="1235" t="s">
        <v>1324</v>
      </c>
      <c r="I12" s="1241"/>
      <c r="J12" s="1235"/>
      <c r="K12" s="2456" t="s">
        <v>1324</v>
      </c>
      <c r="L12" s="1241">
        <v>2025</v>
      </c>
      <c r="M12" s="1241">
        <v>2026</v>
      </c>
      <c r="N12" s="1241">
        <v>2027</v>
      </c>
      <c r="O12" s="1241">
        <v>2028</v>
      </c>
      <c r="P12" s="1241">
        <v>2029</v>
      </c>
      <c r="Q12" s="1241">
        <v>2030</v>
      </c>
      <c r="R12" s="2456"/>
      <c r="S12" s="1243"/>
      <c r="AE12" s="1164">
        <v>10</v>
      </c>
    </row>
    <row customHeight="1" ht="10.5" hidden="1">
      <c r="F13" s="1235">
        <v>1</v>
      </c>
      <c r="G13" s="1235">
        <v>2</v>
      </c>
      <c r="H13" s="1235">
        <v>3</v>
      </c>
      <c r="I13" s="1235">
        <v>4</v>
      </c>
      <c r="J13" s="1235">
        <v>5</v>
      </c>
      <c r="K13" s="2456">
        <v>3</v>
      </c>
      <c r="L13" s="2456">
        <v>4</v>
      </c>
      <c r="M13" s="2456">
        <v>4</v>
      </c>
      <c r="N13" s="2456">
        <v>4</v>
      </c>
      <c r="O13" s="2456">
        <v>4</v>
      </c>
      <c r="P13" s="2456">
        <v>4</v>
      </c>
      <c r="Q13" s="2456">
        <v>4</v>
      </c>
      <c r="R13" s="2456">
        <v>5</v>
      </c>
      <c r="S13" s="1243"/>
      <c r="AE13" s="1164">
        <v>0</v>
      </c>
    </row>
    <row customHeight="1" ht="11.549999999999999">
      <c r="F14" s="1234" t="s">
        <v>1325</v>
      </c>
      <c r="G14" s="2449" t="s">
        <v>1326</v>
      </c>
      <c r="H14" s="2449"/>
      <c r="I14" s="2449"/>
      <c r="J14" s="2449"/>
      <c r="K14" s="2449"/>
      <c r="L14" s="2449"/>
      <c r="M14" s="2449"/>
      <c r="N14" s="2449"/>
      <c r="O14" s="2449"/>
      <c r="P14" s="2449"/>
      <c r="Q14" s="2449"/>
      <c r="R14" s="2449"/>
      <c r="S14" s="1243"/>
      <c r="AE14" s="1164">
        <v>11</v>
      </c>
    </row>
    <row customHeight="1" ht="11.549999999999999">
      <c r="F15" s="1239">
        <v>1</v>
      </c>
      <c r="G15" s="699" t="s">
        <v>1327</v>
      </c>
      <c r="H15" s="1245">
        <f>SUM(I15:J15)</f>
        <v>0</v>
      </c>
      <c r="I15" s="1245">
        <f>SUM(I16:I27)</f>
        <v>0</v>
      </c>
      <c r="J15" s="1234"/>
      <c r="K15" s="1245">
        <f>SUM(L15:R15)</f>
        <v>0</v>
      </c>
      <c r="L15" s="1245">
        <f>SUM(L16:L27)</f>
        <v>0</v>
      </c>
      <c r="M15" s="1245">
        <f>SUM(M16:M27)</f>
        <v>0</v>
      </c>
      <c r="N15" s="1245">
        <f>SUM(N16:N27)</f>
        <v>0</v>
      </c>
      <c r="O15" s="1245">
        <f>SUM(O16:O27)</f>
        <v>0</v>
      </c>
      <c r="P15" s="1245">
        <f>SUM(P16:P27)</f>
        <v>0</v>
      </c>
      <c r="Q15" s="1245">
        <f>SUM(Q16:Q27)</f>
        <v>0</v>
      </c>
      <c r="R15" s="2454"/>
      <c r="S15" s="1243"/>
      <c r="AE15" s="1164">
        <v>11</v>
      </c>
    </row>
    <row customHeight="1" ht="24">
      <c r="F16" s="1239" t="s">
        <v>1328</v>
      </c>
      <c r="G16" s="1246" t="s">
        <v>1329</v>
      </c>
      <c r="H16" s="1245">
        <f>SUM(I16:J16)</f>
        <v>0</v>
      </c>
      <c r="I16" s="1244"/>
      <c r="J16" s="1234"/>
      <c r="K16" s="1245">
        <f>SUM(L16:R16)</f>
        <v>0</v>
      </c>
      <c r="L16" s="1244"/>
      <c r="M16" s="1244"/>
      <c r="N16" s="1244"/>
      <c r="O16" s="1244"/>
      <c r="P16" s="1244"/>
      <c r="Q16" s="1244"/>
      <c r="R16" s="2454"/>
      <c r="S16" s="1243"/>
      <c r="AE16" s="1164">
        <v>23</v>
      </c>
    </row>
    <row customHeight="1" ht="24">
      <c r="F17" s="1239" t="s">
        <v>1330</v>
      </c>
      <c r="G17" s="1246" t="s">
        <v>1331</v>
      </c>
      <c r="H17" s="1245">
        <f>SUM(I17:J17)</f>
        <v>0</v>
      </c>
      <c r="I17" s="1244"/>
      <c r="J17" s="1234"/>
      <c r="K17" s="1245">
        <f>SUM(L17:R17)</f>
        <v>0</v>
      </c>
      <c r="L17" s="1244"/>
      <c r="M17" s="1244"/>
      <c r="N17" s="1244"/>
      <c r="O17" s="1244"/>
      <c r="P17" s="1244"/>
      <c r="Q17" s="1244"/>
      <c r="R17" s="2454"/>
      <c r="S17" s="1243"/>
      <c r="AE17" s="1164">
        <v>23</v>
      </c>
    </row>
    <row customHeight="1" ht="35.699999999999996">
      <c r="F18" s="1239" t="s">
        <v>1332</v>
      </c>
      <c r="G18" s="1246" t="s">
        <v>1333</v>
      </c>
      <c r="H18" s="1245">
        <f>SUM(I18:J18)</f>
        <v>0</v>
      </c>
      <c r="I18" s="1244"/>
      <c r="J18" s="1234"/>
      <c r="K18" s="1245">
        <f>SUM(L18:R18)</f>
        <v>0</v>
      </c>
      <c r="L18" s="1244"/>
      <c r="M18" s="1244"/>
      <c r="N18" s="1244"/>
      <c r="O18" s="1244"/>
      <c r="P18" s="1244"/>
      <c r="Q18" s="1244"/>
      <c r="R18" s="2454"/>
      <c r="S18" s="1243"/>
      <c r="AE18" s="1164">
        <v>34</v>
      </c>
    </row>
    <row customHeight="1" ht="35.699999999999996">
      <c r="F19" s="1239" t="s">
        <v>1334</v>
      </c>
      <c r="G19" s="1246" t="s">
        <v>1335</v>
      </c>
      <c r="H19" s="1245">
        <f>SUM(I19:J19)</f>
        <v>0</v>
      </c>
      <c r="I19" s="1244"/>
      <c r="J19" s="1234"/>
      <c r="K19" s="1245">
        <f>SUM(L19:R19)</f>
        <v>0</v>
      </c>
      <c r="L19" s="1244"/>
      <c r="M19" s="1244"/>
      <c r="N19" s="1244"/>
      <c r="O19" s="1244"/>
      <c r="P19" s="1244"/>
      <c r="Q19" s="1244"/>
      <c r="R19" s="2454"/>
      <c r="S19" s="1243"/>
      <c r="AE19" s="1164">
        <v>34</v>
      </c>
    </row>
    <row customHeight="1" ht="48.29999999999999">
      <c r="F20" s="1239" t="s">
        <v>1336</v>
      </c>
      <c r="G20" s="1246" t="s">
        <v>1337</v>
      </c>
      <c r="H20" s="1245">
        <f>SUM(I20:J20)</f>
        <v>0</v>
      </c>
      <c r="I20" s="1244"/>
      <c r="J20" s="1234"/>
      <c r="K20" s="1245">
        <f>SUM(L20:R20)</f>
        <v>0</v>
      </c>
      <c r="L20" s="1244"/>
      <c r="M20" s="1244"/>
      <c r="N20" s="1244"/>
      <c r="O20" s="1244"/>
      <c r="P20" s="1244"/>
      <c r="Q20" s="1244"/>
      <c r="R20" s="2454"/>
      <c r="S20" s="1243"/>
      <c r="AE20" s="1164">
        <v>46</v>
      </c>
    </row>
    <row customHeight="1" ht="35.699999999999996">
      <c r="F21" s="1239" t="s">
        <v>1338</v>
      </c>
      <c r="G21" s="1246" t="s">
        <v>1339</v>
      </c>
      <c r="H21" s="1245">
        <f>SUM(I21:J21)</f>
        <v>0</v>
      </c>
      <c r="I21" s="1244"/>
      <c r="J21" s="1234"/>
      <c r="K21" s="1245">
        <f>SUM(L21:R21)</f>
        <v>0</v>
      </c>
      <c r="L21" s="1244"/>
      <c r="M21" s="1244"/>
      <c r="N21" s="1244"/>
      <c r="O21" s="1244"/>
      <c r="P21" s="1244"/>
      <c r="Q21" s="1244"/>
      <c r="R21" s="2454"/>
      <c r="S21" s="1243"/>
      <c r="AE21" s="1164">
        <v>34</v>
      </c>
    </row>
    <row customHeight="1" ht="35.699999999999996">
      <c r="F22" s="1239" t="s">
        <v>1340</v>
      </c>
      <c r="G22" s="1246" t="s">
        <v>1341</v>
      </c>
      <c r="H22" s="1245">
        <f>SUM(I22:J22)</f>
        <v>0</v>
      </c>
      <c r="I22" s="1244"/>
      <c r="J22" s="1234"/>
      <c r="K22" s="1245">
        <f>SUM(L22:R22)</f>
        <v>0</v>
      </c>
      <c r="L22" s="1244"/>
      <c r="M22" s="1244"/>
      <c r="N22" s="1244"/>
      <c r="O22" s="1244"/>
      <c r="P22" s="1244"/>
      <c r="Q22" s="1244"/>
      <c r="R22" s="2454"/>
      <c r="S22" s="1243"/>
      <c r="AE22" s="1164">
        <v>34</v>
      </c>
    </row>
    <row customHeight="1" ht="24">
      <c r="F23" s="1239" t="s">
        <v>1342</v>
      </c>
      <c r="G23" s="1246" t="s">
        <v>1343</v>
      </c>
      <c r="H23" s="1245">
        <f>SUM(I23:J23)</f>
        <v>0</v>
      </c>
      <c r="I23" s="1244"/>
      <c r="J23" s="1234"/>
      <c r="K23" s="1245">
        <f>SUM(L23:R23)</f>
        <v>0</v>
      </c>
      <c r="L23" s="1244"/>
      <c r="M23" s="1244"/>
      <c r="N23" s="1244"/>
      <c r="O23" s="1244"/>
      <c r="P23" s="1244"/>
      <c r="Q23" s="1244"/>
      <c r="R23" s="2454"/>
      <c r="S23" s="1243"/>
      <c r="AE23" s="1164">
        <v>23</v>
      </c>
    </row>
    <row customHeight="1" ht="24">
      <c r="F24" s="1239" t="s">
        <v>1344</v>
      </c>
      <c r="G24" s="1246" t="s">
        <v>1345</v>
      </c>
      <c r="H24" s="1245">
        <f>SUM(I24:J24)</f>
        <v>0</v>
      </c>
      <c r="I24" s="1244"/>
      <c r="J24" s="1234"/>
      <c r="K24" s="1245">
        <f>SUM(L24:R24)</f>
        <v>0</v>
      </c>
      <c r="L24" s="1244"/>
      <c r="M24" s="1244"/>
      <c r="N24" s="1244"/>
      <c r="O24" s="1244"/>
      <c r="P24" s="1244"/>
      <c r="Q24" s="1244"/>
      <c r="R24" s="2454"/>
      <c r="S24" s="1243"/>
      <c r="AE24" s="1164">
        <v>23</v>
      </c>
    </row>
    <row customHeight="1" ht="35.699999999999996">
      <c r="F25" s="1239" t="s">
        <v>1346</v>
      </c>
      <c r="G25" s="1246" t="s">
        <v>1347</v>
      </c>
      <c r="H25" s="1245">
        <f>SUM(I25:J25)</f>
        <v>0</v>
      </c>
      <c r="I25" s="1244"/>
      <c r="J25" s="1234"/>
      <c r="K25" s="1245">
        <f>SUM(L25:R25)</f>
        <v>0</v>
      </c>
      <c r="L25" s="1244"/>
      <c r="M25" s="1244"/>
      <c r="N25" s="1244"/>
      <c r="O25" s="1244"/>
      <c r="P25" s="1244"/>
      <c r="Q25" s="1244"/>
      <c r="R25" s="2454"/>
      <c r="S25" s="1243"/>
      <c r="AE25" s="1164">
        <v>34</v>
      </c>
    </row>
    <row customHeight="1" ht="35.699999999999996">
      <c r="F26" s="1239" t="s">
        <v>1348</v>
      </c>
      <c r="G26" s="1246" t="s">
        <v>1349</v>
      </c>
      <c r="H26" s="1245">
        <f>SUM(I26:J26)</f>
        <v>0</v>
      </c>
      <c r="I26" s="1244"/>
      <c r="J26" s="1234"/>
      <c r="K26" s="1245">
        <f>SUM(L26:R26)</f>
        <v>0</v>
      </c>
      <c r="L26" s="1244"/>
      <c r="M26" s="1244"/>
      <c r="N26" s="1244"/>
      <c r="O26" s="1244"/>
      <c r="P26" s="1244"/>
      <c r="Q26" s="1244"/>
      <c r="R26" s="2454"/>
      <c r="S26" s="1243"/>
      <c r="AE26" s="1164">
        <v>34</v>
      </c>
    </row>
    <row customHeight="1" ht="11.549999999999999">
      <c r="F27" s="1239" t="s">
        <v>1350</v>
      </c>
      <c r="G27" s="1246" t="s">
        <v>1351</v>
      </c>
      <c r="H27" s="1245">
        <f>SUM(I27:J27)</f>
        <v>0</v>
      </c>
      <c r="I27" s="1244"/>
      <c r="J27" s="1234"/>
      <c r="K27" s="1245">
        <f>SUM(L27:R27)</f>
        <v>0</v>
      </c>
      <c r="L27" s="1244"/>
      <c r="M27" s="1244"/>
      <c r="N27" s="1244"/>
      <c r="O27" s="1244"/>
      <c r="P27" s="1244"/>
      <c r="Q27" s="1244"/>
      <c r="R27" s="2454"/>
      <c r="S27" s="1243"/>
      <c r="AE27" s="1164">
        <v>11</v>
      </c>
    </row>
    <row customHeight="1" ht="11.549999999999999">
      <c r="F28" s="1239">
        <v>2</v>
      </c>
      <c r="G28" s="699" t="s">
        <v>1352</v>
      </c>
      <c r="H28" s="1245">
        <f>SUM(I28:J28)</f>
        <v>0</v>
      </c>
      <c r="I28" s="1245">
        <f>SUM(I29:I31)</f>
        <v>0</v>
      </c>
      <c r="J28" s="1234"/>
      <c r="K28" s="1245">
        <f>SUM(L28:R28)</f>
        <v>0</v>
      </c>
      <c r="L28" s="1245">
        <f>SUM(L29:L31)</f>
        <v>0</v>
      </c>
      <c r="M28" s="1245">
        <f>SUM(M29:M31)</f>
        <v>0</v>
      </c>
      <c r="N28" s="1245">
        <f>SUM(N29:N31)</f>
        <v>0</v>
      </c>
      <c r="O28" s="1245">
        <f>SUM(O29:O31)</f>
        <v>0</v>
      </c>
      <c r="P28" s="1245">
        <f>SUM(P29:P31)</f>
        <v>0</v>
      </c>
      <c r="Q28" s="1245">
        <f>SUM(Q29:Q31)</f>
        <v>0</v>
      </c>
      <c r="R28" s="2454"/>
      <c r="S28" s="1243"/>
      <c r="AE28" s="1164">
        <v>11</v>
      </c>
    </row>
    <row customHeight="1" ht="11.549999999999999">
      <c r="F29" s="1239" t="s">
        <v>731</v>
      </c>
      <c r="G29" s="1246" t="s">
        <v>1353</v>
      </c>
      <c r="H29" s="1245">
        <f>SUM(I29:J29)</f>
        <v>0</v>
      </c>
      <c r="I29" s="1244"/>
      <c r="J29" s="1234"/>
      <c r="K29" s="1245">
        <f>SUM(L29:R29)</f>
        <v>0</v>
      </c>
      <c r="L29" s="1244"/>
      <c r="M29" s="1244"/>
      <c r="N29" s="1244"/>
      <c r="O29" s="1244"/>
      <c r="P29" s="1244"/>
      <c r="Q29" s="1244"/>
      <c r="R29" s="2454"/>
      <c r="S29" s="1243"/>
      <c r="AE29" s="1164">
        <v>11</v>
      </c>
    </row>
    <row customHeight="1" ht="11.549999999999999">
      <c r="F30" s="1239" t="s">
        <v>322</v>
      </c>
      <c r="G30" s="1246" t="s">
        <v>1354</v>
      </c>
      <c r="H30" s="1245">
        <f>SUM(I30:J30)</f>
        <v>0</v>
      </c>
      <c r="I30" s="1244"/>
      <c r="J30" s="1234"/>
      <c r="K30" s="1245">
        <f>SUM(L30:R30)</f>
        <v>0</v>
      </c>
      <c r="L30" s="1244"/>
      <c r="M30" s="1244"/>
      <c r="N30" s="1244"/>
      <c r="O30" s="1244"/>
      <c r="P30" s="1244"/>
      <c r="Q30" s="1244"/>
      <c r="R30" s="2454"/>
      <c r="S30" s="1243"/>
      <c r="AE30" s="1164">
        <v>11</v>
      </c>
    </row>
    <row customHeight="1" ht="11.549999999999999">
      <c r="F31" s="1239" t="s">
        <v>325</v>
      </c>
      <c r="G31" s="1246" t="s">
        <v>1355</v>
      </c>
      <c r="H31" s="1245">
        <f>SUM(I31:J31)</f>
        <v>0</v>
      </c>
      <c r="I31" s="1244"/>
      <c r="J31" s="1234"/>
      <c r="K31" s="1245">
        <f>SUM(L31:R31)</f>
        <v>0</v>
      </c>
      <c r="L31" s="1244"/>
      <c r="M31" s="1244"/>
      <c r="N31" s="1244"/>
      <c r="O31" s="1244"/>
      <c r="P31" s="1244"/>
      <c r="Q31" s="1244"/>
      <c r="R31" s="2454"/>
      <c r="S31" s="1243"/>
      <c r="AE31" s="1164">
        <v>11</v>
      </c>
    </row>
    <row customHeight="1" ht="11.549999999999999">
      <c r="F32" s="1239">
        <v>3</v>
      </c>
      <c r="G32" s="699" t="s">
        <v>1356</v>
      </c>
      <c r="H32" s="1245">
        <f>SUM(I32:J32)</f>
        <v>0</v>
      </c>
      <c r="I32" s="1245">
        <f>SUM(I33:I34)</f>
        <v>0</v>
      </c>
      <c r="J32" s="1234"/>
      <c r="K32" s="1245">
        <f>SUM(L32:R32)</f>
        <v>0</v>
      </c>
      <c r="L32" s="1245">
        <f>SUM(L33:L34)</f>
        <v>0</v>
      </c>
      <c r="M32" s="1245">
        <f>SUM(M33:M34)</f>
        <v>0</v>
      </c>
      <c r="N32" s="1245">
        <f>SUM(N33:N34)</f>
        <v>0</v>
      </c>
      <c r="O32" s="1245">
        <f>SUM(O33:O34)</f>
        <v>0</v>
      </c>
      <c r="P32" s="1245">
        <f>SUM(P33:P34)</f>
        <v>0</v>
      </c>
      <c r="Q32" s="1245">
        <f>SUM(Q33:Q34)</f>
        <v>0</v>
      </c>
      <c r="R32" s="2454"/>
      <c r="S32" s="1243"/>
      <c r="AE32" s="1164">
        <v>11</v>
      </c>
    </row>
    <row customHeight="1" ht="48.29999999999999">
      <c r="F33" s="1239" t="s">
        <v>339</v>
      </c>
      <c r="G33" s="1246" t="s">
        <v>1357</v>
      </c>
      <c r="H33" s="1245">
        <f>SUM(I33:J33)</f>
        <v>0</v>
      </c>
      <c r="I33" s="1244"/>
      <c r="J33" s="1234"/>
      <c r="K33" s="1245">
        <f>SUM(L33:R33)</f>
        <v>0</v>
      </c>
      <c r="L33" s="1244"/>
      <c r="M33" s="1244"/>
      <c r="N33" s="1244"/>
      <c r="O33" s="1244"/>
      <c r="P33" s="1244"/>
      <c r="Q33" s="1244"/>
      <c r="R33" s="2454"/>
      <c r="S33" s="1243"/>
      <c r="AE33" s="1164">
        <v>46</v>
      </c>
    </row>
    <row customHeight="1" ht="11.549999999999999">
      <c r="F34" s="1239" t="s">
        <v>347</v>
      </c>
      <c r="G34" s="1246" t="s">
        <v>1358</v>
      </c>
      <c r="H34" s="1245">
        <f>SUM(I34:J34)</f>
        <v>0</v>
      </c>
      <c r="I34" s="1244"/>
      <c r="J34" s="1234"/>
      <c r="K34" s="1245">
        <f>SUM(L34:R34)</f>
        <v>0</v>
      </c>
      <c r="L34" s="1244"/>
      <c r="M34" s="1244"/>
      <c r="N34" s="1244"/>
      <c r="O34" s="1244"/>
      <c r="P34" s="1244"/>
      <c r="Q34" s="1244"/>
      <c r="R34" s="2454"/>
      <c r="S34" s="1243"/>
      <c r="AE34" s="1164">
        <v>11</v>
      </c>
    </row>
    <row customHeight="1" ht="11.549999999999999">
      <c r="F35" s="1239">
        <v>4</v>
      </c>
      <c r="G35" s="699" t="s">
        <v>1359</v>
      </c>
      <c r="H35" s="1245">
        <f>SUM(I35:J35)</f>
        <v>0</v>
      </c>
      <c r="I35" s="1244"/>
      <c r="J35" s="1234"/>
      <c r="K35" s="1245">
        <f>SUM(L35:R35)</f>
        <v>0</v>
      </c>
      <c r="L35" s="1244"/>
      <c r="M35" s="1244"/>
      <c r="N35" s="1244"/>
      <c r="O35" s="1244"/>
      <c r="P35" s="1244"/>
      <c r="Q35" s="1244"/>
      <c r="R35" s="2454"/>
      <c r="S35" s="1243"/>
      <c r="AE35" s="1164">
        <v>11</v>
      </c>
    </row>
    <row customHeight="1" ht="11.549999999999999">
      <c r="F36" s="1239"/>
      <c r="G36" s="702" t="s">
        <v>1360</v>
      </c>
      <c r="H36" s="1245">
        <f>SUM(I36:J36)</f>
        <v>0</v>
      </c>
      <c r="I36" s="1245">
        <f>SUM(I15,I28,I32,I35)</f>
        <v>0</v>
      </c>
      <c r="J36" s="1234"/>
      <c r="K36" s="1245">
        <f>SUM(L36:R36)</f>
        <v>0</v>
      </c>
      <c r="L36" s="1245">
        <f>SUM(L15,L28,L32,L35)</f>
        <v>0</v>
      </c>
      <c r="M36" s="1245">
        <f>SUM(M15,M28,M32,M35)</f>
        <v>0</v>
      </c>
      <c r="N36" s="1245">
        <f>SUM(N15,N28,N32,N35)</f>
        <v>0</v>
      </c>
      <c r="O36" s="1245">
        <f>SUM(O15,O28,O32,O35)</f>
        <v>0</v>
      </c>
      <c r="P36" s="1245">
        <f>SUM(P15,P28,P32,P35)</f>
        <v>0</v>
      </c>
      <c r="Q36" s="1245">
        <f>SUM(Q15,Q28,Q32,Q35)</f>
        <v>0</v>
      </c>
      <c r="R36" s="2454"/>
      <c r="S36" s="1243"/>
      <c r="AE36" s="1164">
        <v>11</v>
      </c>
    </row>
    <row customHeight="1" ht="29.25">
      <c r="F37" s="1240" t="s">
        <v>1361</v>
      </c>
      <c r="G37" s="2450" t="s">
        <v>1362</v>
      </c>
      <c r="H37" s="2450"/>
      <c r="I37" s="2450"/>
      <c r="J37" s="2450"/>
      <c r="K37" s="2665"/>
      <c r="L37" s="2665"/>
      <c r="M37" s="2665"/>
      <c r="N37" s="2665"/>
      <c r="O37" s="2665"/>
      <c r="P37" s="2665"/>
      <c r="Q37" s="2665"/>
      <c r="R37" s="2665"/>
      <c r="S37" s="1243"/>
      <c r="AE37" s="1164">
        <v>28</v>
      </c>
    </row>
    <row customHeight="1" ht="24">
      <c r="F38" s="1239" t="s">
        <v>118</v>
      </c>
      <c r="G38" s="699" t="s">
        <v>1363</v>
      </c>
      <c r="H38" s="1245">
        <f>SUM(I38:J38)</f>
        <v>0</v>
      </c>
      <c r="I38" s="1245">
        <f>SUM(I39,I44,I47)</f>
        <v>0</v>
      </c>
      <c r="J38" s="1234"/>
      <c r="K38" s="1245">
        <f>SUM(L38:R38)</f>
        <v>0</v>
      </c>
      <c r="L38" s="1245">
        <f>SUM(L39,L44,L47)</f>
        <v>0</v>
      </c>
      <c r="M38" s="1245">
        <f>SUM(M39,M44,M47)</f>
        <v>0</v>
      </c>
      <c r="N38" s="1245">
        <f>SUM(N39,N44,N47)</f>
        <v>0</v>
      </c>
      <c r="O38" s="1245">
        <f>SUM(O39,O44,O47)</f>
        <v>0</v>
      </c>
      <c r="P38" s="1245">
        <f>SUM(P39,P44,P47)</f>
        <v>0</v>
      </c>
      <c r="Q38" s="1245">
        <f>SUM(Q39,Q44,Q47)</f>
        <v>0</v>
      </c>
      <c r="R38" s="2454"/>
      <c r="S38" s="1243"/>
      <c r="AE38" s="1164">
        <v>23</v>
      </c>
    </row>
    <row customHeight="1" ht="11.549999999999999">
      <c r="F39" s="1239" t="s">
        <v>1328</v>
      </c>
      <c r="G39" s="1246" t="s">
        <v>1327</v>
      </c>
      <c r="H39" s="1245">
        <f>SUM(I39:J39)</f>
        <v>0</v>
      </c>
      <c r="I39" s="1245">
        <f>SUM(I40:I43)</f>
        <v>0</v>
      </c>
      <c r="J39" s="1234"/>
      <c r="K39" s="1245">
        <f>SUM(L39:R39)</f>
        <v>0</v>
      </c>
      <c r="L39" s="1245">
        <f>SUM(L40:L43)</f>
        <v>0</v>
      </c>
      <c r="M39" s="1245">
        <f>SUM(M40:M43)</f>
        <v>0</v>
      </c>
      <c r="N39" s="1245">
        <f>SUM(N40:N43)</f>
        <v>0</v>
      </c>
      <c r="O39" s="1245">
        <f>SUM(O40:O43)</f>
        <v>0</v>
      </c>
      <c r="P39" s="1245">
        <f>SUM(P40:P43)</f>
        <v>0</v>
      </c>
      <c r="Q39" s="1245">
        <f>SUM(Q40:Q43)</f>
        <v>0</v>
      </c>
      <c r="R39" s="2454"/>
      <c r="S39" s="1243"/>
      <c r="AE39" s="1164">
        <v>11</v>
      </c>
    </row>
    <row customHeight="1" ht="24">
      <c r="F40" s="1239" t="s">
        <v>1364</v>
      </c>
      <c r="G40" s="1247" t="s">
        <v>1365</v>
      </c>
      <c r="H40" s="1245">
        <f>SUM(I40:J40)</f>
        <v>0</v>
      </c>
      <c r="I40" s="1244"/>
      <c r="J40" s="1234"/>
      <c r="K40" s="1245">
        <f>SUM(L40:R40)</f>
        <v>0</v>
      </c>
      <c r="L40" s="1244"/>
      <c r="M40" s="1244"/>
      <c r="N40" s="1244"/>
      <c r="O40" s="1244"/>
      <c r="P40" s="1244"/>
      <c r="Q40" s="1244"/>
      <c r="R40" s="2454"/>
      <c r="S40" s="1243"/>
      <c r="AE40" s="1164">
        <v>23</v>
      </c>
    </row>
    <row customHeight="1" ht="11.549999999999999">
      <c r="F41" s="1239" t="s">
        <v>1366</v>
      </c>
      <c r="G41" s="1247" t="s">
        <v>1367</v>
      </c>
      <c r="H41" s="1245">
        <f>SUM(I41:J41)</f>
        <v>0</v>
      </c>
      <c r="I41" s="1244"/>
      <c r="J41" s="1234"/>
      <c r="K41" s="1245">
        <f>SUM(L41:R41)</f>
        <v>0</v>
      </c>
      <c r="L41" s="1244"/>
      <c r="M41" s="1244"/>
      <c r="N41" s="1244"/>
      <c r="O41" s="1244"/>
      <c r="P41" s="1244"/>
      <c r="Q41" s="1244"/>
      <c r="R41" s="2454"/>
      <c r="S41" s="1243"/>
      <c r="AE41" s="1164">
        <v>11</v>
      </c>
    </row>
    <row customHeight="1" ht="11.549999999999999">
      <c r="F42" s="1239" t="s">
        <v>1368</v>
      </c>
      <c r="G42" s="1247" t="s">
        <v>1369</v>
      </c>
      <c r="H42" s="1245">
        <f>SUM(I42:J42)</f>
        <v>0</v>
      </c>
      <c r="I42" s="1244"/>
      <c r="J42" s="1234"/>
      <c r="K42" s="1245">
        <f>SUM(L42:R42)</f>
        <v>0</v>
      </c>
      <c r="L42" s="1244"/>
      <c r="M42" s="1244"/>
      <c r="N42" s="1244"/>
      <c r="O42" s="1244"/>
      <c r="P42" s="1244"/>
      <c r="Q42" s="1244"/>
      <c r="R42" s="2454"/>
      <c r="S42" s="1243"/>
      <c r="AE42" s="1164">
        <v>11</v>
      </c>
    </row>
    <row customHeight="1" ht="35.699999999999996">
      <c r="F43" s="1239" t="s">
        <v>1370</v>
      </c>
      <c r="G43" s="1247" t="s">
        <v>1371</v>
      </c>
      <c r="H43" s="1245">
        <f>SUM(I43:J43)</f>
        <v>0</v>
      </c>
      <c r="I43" s="1244"/>
      <c r="J43" s="1234"/>
      <c r="K43" s="1245">
        <f>SUM(L43:R43)</f>
        <v>0</v>
      </c>
      <c r="L43" s="1244"/>
      <c r="M43" s="1244"/>
      <c r="N43" s="1244"/>
      <c r="O43" s="1244"/>
      <c r="P43" s="1244"/>
      <c r="Q43" s="1244"/>
      <c r="R43" s="2454"/>
      <c r="S43" s="1243"/>
      <c r="AE43" s="1164">
        <v>34</v>
      </c>
    </row>
    <row customHeight="1" ht="11.549999999999999">
      <c r="F44" s="1239" t="s">
        <v>1330</v>
      </c>
      <c r="G44" s="1246" t="s">
        <v>1356</v>
      </c>
      <c r="H44" s="1245">
        <f>SUM(I44:J44)</f>
        <v>0</v>
      </c>
      <c r="I44" s="1245">
        <f>SUM(I45:I46)</f>
        <v>0</v>
      </c>
      <c r="J44" s="1234"/>
      <c r="K44" s="1245">
        <f>SUM(L44:R44)</f>
        <v>0</v>
      </c>
      <c r="L44" s="1245">
        <f>SUM(L45:L46)</f>
        <v>0</v>
      </c>
      <c r="M44" s="1245">
        <f>SUM(M45:M46)</f>
        <v>0</v>
      </c>
      <c r="N44" s="1245">
        <f>SUM(N45:N46)</f>
        <v>0</v>
      </c>
      <c r="O44" s="1245">
        <f>SUM(O45:O46)</f>
        <v>0</v>
      </c>
      <c r="P44" s="1245">
        <f>SUM(P45:P46)</f>
        <v>0</v>
      </c>
      <c r="Q44" s="1245">
        <f>SUM(Q45:Q46)</f>
        <v>0</v>
      </c>
      <c r="R44" s="2454"/>
      <c r="S44" s="1243"/>
      <c r="AE44" s="1164">
        <v>11</v>
      </c>
    </row>
    <row customHeight="1" ht="48.29999999999999">
      <c r="F45" s="1239" t="s">
        <v>1372</v>
      </c>
      <c r="G45" s="1247" t="s">
        <v>1357</v>
      </c>
      <c r="H45" s="1245">
        <f>SUM(I45:J45)</f>
        <v>0</v>
      </c>
      <c r="I45" s="1244"/>
      <c r="J45" s="1234"/>
      <c r="K45" s="1245">
        <f>SUM(L45:R45)</f>
        <v>0</v>
      </c>
      <c r="L45" s="1244"/>
      <c r="M45" s="1244"/>
      <c r="N45" s="1244"/>
      <c r="O45" s="1244"/>
      <c r="P45" s="1244"/>
      <c r="Q45" s="1244"/>
      <c r="R45" s="2454"/>
      <c r="S45" s="1243"/>
      <c r="AE45" s="1164">
        <v>46</v>
      </c>
    </row>
    <row customHeight="1" ht="11.549999999999999">
      <c r="F46" s="1239" t="s">
        <v>1373</v>
      </c>
      <c r="G46" s="1247" t="s">
        <v>1358</v>
      </c>
      <c r="H46" s="1245">
        <f>SUM(I46:J46)</f>
        <v>0</v>
      </c>
      <c r="I46" s="1244"/>
      <c r="J46" s="1234"/>
      <c r="K46" s="1245">
        <f>SUM(L46:R46)</f>
        <v>0</v>
      </c>
      <c r="L46" s="1244"/>
      <c r="M46" s="1244"/>
      <c r="N46" s="1244"/>
      <c r="O46" s="1244"/>
      <c r="P46" s="1244"/>
      <c r="Q46" s="1244"/>
      <c r="R46" s="2454"/>
      <c r="S46" s="1243"/>
      <c r="AE46" s="1164">
        <v>11</v>
      </c>
    </row>
    <row customHeight="1" ht="11.549999999999999">
      <c r="F47" s="1239" t="s">
        <v>1332</v>
      </c>
      <c r="G47" s="1246" t="s">
        <v>1374</v>
      </c>
      <c r="H47" s="1245">
        <f>SUM(I47:J47)</f>
        <v>0</v>
      </c>
      <c r="I47" s="1244"/>
      <c r="J47" s="1234"/>
      <c r="K47" s="1245">
        <f>SUM(L47:R47)</f>
        <v>0</v>
      </c>
      <c r="L47" s="1244"/>
      <c r="M47" s="1244"/>
      <c r="N47" s="1244"/>
      <c r="O47" s="1244"/>
      <c r="P47" s="1244"/>
      <c r="Q47" s="1244"/>
      <c r="R47" s="2454"/>
      <c r="S47" s="1243"/>
      <c r="AE47" s="1164">
        <v>11</v>
      </c>
    </row>
    <row customHeight="1" ht="24">
      <c r="F48" s="1239" t="s">
        <v>103</v>
      </c>
      <c r="G48" s="699" t="s">
        <v>1375</v>
      </c>
      <c r="H48" s="1245">
        <f>SUM(I48:J48)</f>
        <v>0</v>
      </c>
      <c r="I48" s="1245">
        <f>SUM(I49,I54,I57)</f>
        <v>0</v>
      </c>
      <c r="J48" s="1234"/>
      <c r="K48" s="1245">
        <f>SUM(L48:R48)</f>
        <v>0</v>
      </c>
      <c r="L48" s="1245">
        <f>SUM(L49,L54,L57)</f>
        <v>0</v>
      </c>
      <c r="M48" s="1245">
        <f>SUM(M49,M54,M57)</f>
        <v>0</v>
      </c>
      <c r="N48" s="1245">
        <f>SUM(N49,N54,N57)</f>
        <v>0</v>
      </c>
      <c r="O48" s="1245">
        <f>SUM(O49,O54,O57)</f>
        <v>0</v>
      </c>
      <c r="P48" s="1245">
        <f>SUM(P49,P54,P57)</f>
        <v>0</v>
      </c>
      <c r="Q48" s="1245">
        <f>SUM(Q49,Q54,Q57)</f>
        <v>0</v>
      </c>
      <c r="R48" s="2454"/>
      <c r="S48" s="1243"/>
      <c r="AE48" s="1164">
        <v>23</v>
      </c>
    </row>
    <row customHeight="1" ht="11.549999999999999">
      <c r="F49" s="1239" t="s">
        <v>731</v>
      </c>
      <c r="G49" s="1246" t="s">
        <v>1327</v>
      </c>
      <c r="H49" s="1245">
        <f>SUM(I49:J49)</f>
        <v>0</v>
      </c>
      <c r="I49" s="1245">
        <f>SUM(I50:I53)</f>
        <v>0</v>
      </c>
      <c r="J49" s="1234"/>
      <c r="K49" s="1245">
        <f>SUM(L49:R49)</f>
        <v>0</v>
      </c>
      <c r="L49" s="1245">
        <f>SUM(L50:L53)</f>
        <v>0</v>
      </c>
      <c r="M49" s="1245">
        <f>SUM(M50:M53)</f>
        <v>0</v>
      </c>
      <c r="N49" s="1245">
        <f>SUM(N50:N53)</f>
        <v>0</v>
      </c>
      <c r="O49" s="1245">
        <f>SUM(O50:O53)</f>
        <v>0</v>
      </c>
      <c r="P49" s="1245">
        <f>SUM(P50:P53)</f>
        <v>0</v>
      </c>
      <c r="Q49" s="1245">
        <f>SUM(Q50:Q53)</f>
        <v>0</v>
      </c>
      <c r="R49" s="2454"/>
      <c r="S49" s="1243"/>
      <c r="AE49" s="1164">
        <v>11</v>
      </c>
    </row>
    <row customHeight="1" ht="24">
      <c r="F50" s="1239" t="s">
        <v>734</v>
      </c>
      <c r="G50" s="1247" t="s">
        <v>1365</v>
      </c>
      <c r="H50" s="1245">
        <f>SUM(I50:J50)</f>
        <v>0</v>
      </c>
      <c r="I50" s="1244"/>
      <c r="J50" s="1234"/>
      <c r="K50" s="1245">
        <f>SUM(L50:R50)</f>
        <v>0</v>
      </c>
      <c r="L50" s="1244"/>
      <c r="M50" s="1244"/>
      <c r="N50" s="1244"/>
      <c r="O50" s="1244"/>
      <c r="P50" s="1244"/>
      <c r="Q50" s="1244"/>
      <c r="R50" s="2454"/>
      <c r="S50" s="1243"/>
      <c r="AE50" s="1164">
        <v>23</v>
      </c>
    </row>
    <row customHeight="1" ht="11.549999999999999">
      <c r="F51" s="1239" t="s">
        <v>737</v>
      </c>
      <c r="G51" s="1247" t="s">
        <v>1367</v>
      </c>
      <c r="H51" s="1245">
        <f>SUM(I51:J51)</f>
        <v>0</v>
      </c>
      <c r="I51" s="1244"/>
      <c r="J51" s="1234"/>
      <c r="K51" s="1245">
        <f>SUM(L51:R51)</f>
        <v>0</v>
      </c>
      <c r="L51" s="1244"/>
      <c r="M51" s="1244"/>
      <c r="N51" s="1244"/>
      <c r="O51" s="1244"/>
      <c r="P51" s="1244"/>
      <c r="Q51" s="1244"/>
      <c r="R51" s="2454"/>
      <c r="S51" s="1243"/>
      <c r="AE51" s="1164">
        <v>11</v>
      </c>
    </row>
    <row customHeight="1" ht="11.549999999999999">
      <c r="F52" s="1239" t="s">
        <v>1376</v>
      </c>
      <c r="G52" s="1247" t="s">
        <v>1369</v>
      </c>
      <c r="H52" s="1245">
        <f>SUM(I52:J52)</f>
        <v>0</v>
      </c>
      <c r="I52" s="1244"/>
      <c r="J52" s="1234"/>
      <c r="K52" s="1245">
        <f>SUM(L52:R52)</f>
        <v>0</v>
      </c>
      <c r="L52" s="1244"/>
      <c r="M52" s="1244"/>
      <c r="N52" s="1244"/>
      <c r="O52" s="1244"/>
      <c r="P52" s="1244"/>
      <c r="Q52" s="1244"/>
      <c r="R52" s="2454"/>
      <c r="S52" s="1243"/>
      <c r="AE52" s="1164">
        <v>11</v>
      </c>
    </row>
    <row customHeight="1" ht="35.699999999999996">
      <c r="F53" s="1239" t="s">
        <v>1377</v>
      </c>
      <c r="G53" s="1247" t="s">
        <v>1371</v>
      </c>
      <c r="H53" s="1245">
        <f>SUM(I53:J53)</f>
        <v>0</v>
      </c>
      <c r="I53" s="1244"/>
      <c r="J53" s="1234"/>
      <c r="K53" s="1245">
        <f>SUM(L53:R53)</f>
        <v>0</v>
      </c>
      <c r="L53" s="1244"/>
      <c r="M53" s="1244"/>
      <c r="N53" s="1244"/>
      <c r="O53" s="1244"/>
      <c r="P53" s="1244"/>
      <c r="Q53" s="1244"/>
      <c r="R53" s="2454"/>
      <c r="S53" s="1243"/>
      <c r="AE53" s="1164">
        <v>34</v>
      </c>
    </row>
    <row customHeight="1" ht="11.549999999999999">
      <c r="F54" s="1239" t="s">
        <v>322</v>
      </c>
      <c r="G54" s="1246" t="s">
        <v>1356</v>
      </c>
      <c r="H54" s="1245">
        <f>SUM(I54:J54)</f>
        <v>0</v>
      </c>
      <c r="I54" s="1245">
        <f>SUM(I55:I56)</f>
        <v>0</v>
      </c>
      <c r="J54" s="1234"/>
      <c r="K54" s="1245">
        <f>SUM(L54:R54)</f>
        <v>0</v>
      </c>
      <c r="L54" s="1245">
        <f>SUM(L55:L56)</f>
        <v>0</v>
      </c>
      <c r="M54" s="1245">
        <f>SUM(M55:M56)</f>
        <v>0</v>
      </c>
      <c r="N54" s="1245">
        <f>SUM(N55:N56)</f>
        <v>0</v>
      </c>
      <c r="O54" s="1245">
        <f>SUM(O55:O56)</f>
        <v>0</v>
      </c>
      <c r="P54" s="1245">
        <f>SUM(P55:P56)</f>
        <v>0</v>
      </c>
      <c r="Q54" s="1245">
        <f>SUM(Q55:Q56)</f>
        <v>0</v>
      </c>
      <c r="R54" s="2454"/>
      <c r="S54" s="1243"/>
      <c r="AE54" s="1164">
        <v>11</v>
      </c>
    </row>
    <row customHeight="1" ht="48.29999999999999">
      <c r="F55" s="1239" t="s">
        <v>741</v>
      </c>
      <c r="G55" s="1247" t="s">
        <v>1357</v>
      </c>
      <c r="H55" s="1245">
        <f>SUM(I55:J55)</f>
        <v>0</v>
      </c>
      <c r="I55" s="1244"/>
      <c r="J55" s="1234"/>
      <c r="K55" s="1245">
        <f>SUM(L55:R55)</f>
        <v>0</v>
      </c>
      <c r="L55" s="1244"/>
      <c r="M55" s="1244"/>
      <c r="N55" s="1244"/>
      <c r="O55" s="1244"/>
      <c r="P55" s="1244"/>
      <c r="Q55" s="1244"/>
      <c r="R55" s="2454"/>
      <c r="S55" s="1243"/>
      <c r="AE55" s="1164">
        <v>46</v>
      </c>
    </row>
    <row customHeight="1" ht="11.549999999999999">
      <c r="F56" s="1239" t="s">
        <v>743</v>
      </c>
      <c r="G56" s="1247" t="s">
        <v>1358</v>
      </c>
      <c r="H56" s="1245">
        <f>SUM(I56:J56)</f>
        <v>0</v>
      </c>
      <c r="I56" s="1244"/>
      <c r="J56" s="1234"/>
      <c r="K56" s="1245">
        <f>SUM(L56:R56)</f>
        <v>0</v>
      </c>
      <c r="L56" s="1244"/>
      <c r="M56" s="1244"/>
      <c r="N56" s="1244"/>
      <c r="O56" s="1244"/>
      <c r="P56" s="1244"/>
      <c r="Q56" s="1244"/>
      <c r="R56" s="2454"/>
      <c r="S56" s="1243"/>
      <c r="AE56" s="1164">
        <v>11</v>
      </c>
    </row>
    <row customHeight="1" ht="11.549999999999999">
      <c r="F57" s="1239" t="s">
        <v>325</v>
      </c>
      <c r="G57" s="1246" t="s">
        <v>1374</v>
      </c>
      <c r="H57" s="1245">
        <f>SUM(I57:J57)</f>
        <v>0</v>
      </c>
      <c r="I57" s="1244"/>
      <c r="J57" s="1234"/>
      <c r="K57" s="1245">
        <f>SUM(L57:R57)</f>
        <v>0</v>
      </c>
      <c r="L57" s="1244"/>
      <c r="M57" s="1244"/>
      <c r="N57" s="1244"/>
      <c r="O57" s="1244"/>
      <c r="P57" s="1244"/>
      <c r="Q57" s="1244"/>
      <c r="R57" s="2454"/>
      <c r="S57" s="1243"/>
      <c r="AE57" s="1164">
        <v>11</v>
      </c>
    </row>
    <row customHeight="1" ht="11.549999999999999">
      <c r="F58" s="1239"/>
      <c r="G58" s="1248" t="s">
        <v>1360</v>
      </c>
      <c r="H58" s="1245">
        <f>SUM(I58:J58)</f>
        <v>0</v>
      </c>
      <c r="I58" s="1245">
        <f>SUM(I38,I48)</f>
        <v>0</v>
      </c>
      <c r="J58" s="1234"/>
      <c r="K58" s="1245">
        <f>SUM(L58:R58)</f>
        <v>0</v>
      </c>
      <c r="L58" s="1245">
        <f>SUM(L38,L48)</f>
        <v>0</v>
      </c>
      <c r="M58" s="1245">
        <f>SUM(M38,M48)</f>
        <v>0</v>
      </c>
      <c r="N58" s="1245">
        <f>SUM(N38,N48)</f>
        <v>0</v>
      </c>
      <c r="O58" s="1245">
        <f>SUM(O38,O48)</f>
        <v>0</v>
      </c>
      <c r="P58" s="1245">
        <f>SUM(P38,P48)</f>
        <v>0</v>
      </c>
      <c r="Q58" s="1245">
        <f>SUM(Q38,Q48)</f>
        <v>0</v>
      </c>
      <c r="R58" s="2454"/>
      <c r="S58" s="1243"/>
      <c r="AE58" s="1164">
        <v>11</v>
      </c>
    </row>
    <row customHeight="1" ht="10.5" hidden="1">
      <c r="A59" s="1175" t="s">
        <v>83</v>
      </c>
      <c r="B59" s="1175">
        <v>0</v>
      </c>
      <c r="C59" s="1175">
        <v>0</v>
      </c>
      <c r="D59" s="1169">
        <v>0</v>
      </c>
      <c r="E59" s="518">
        <v>3</v>
      </c>
      <c r="F59" s="1164">
        <v>6</v>
      </c>
      <c r="G59" s="1164">
        <v>60</v>
      </c>
      <c r="H59" s="1164">
        <v>0</v>
      </c>
      <c r="I59" s="1164">
        <v>0</v>
      </c>
      <c r="J59" s="1164">
        <v>0</v>
      </c>
      <c r="K59" s="1644">
        <v>0</v>
      </c>
      <c r="L59" s="1644">
        <v>0</v>
      </c>
      <c r="M59" s="1644">
        <v>0</v>
      </c>
      <c r="N59" s="1644">
        <v>0</v>
      </c>
      <c r="O59" s="1644">
        <v>0</v>
      </c>
      <c r="P59" s="1644">
        <v>0</v>
      </c>
      <c r="Q59" s="1644">
        <v>0</v>
      </c>
      <c r="R59" s="1644">
        <v>0</v>
      </c>
      <c r="S59" s="1164">
        <v>1</v>
      </c>
      <c r="T59" s="1164">
        <v>8</v>
      </c>
      <c r="U59" s="1164">
        <v>8</v>
      </c>
      <c r="V59" s="1164">
        <v>8</v>
      </c>
      <c r="W59" s="1164">
        <v>8</v>
      </c>
      <c r="X59" s="1164">
        <v>8</v>
      </c>
      <c r="Y59" s="1164">
        <v>8</v>
      </c>
      <c r="Z59" s="1164">
        <v>8</v>
      </c>
      <c r="AA59" s="1164">
        <v>8</v>
      </c>
      <c r="AB59" s="1164">
        <v>8</v>
      </c>
      <c r="AC59" s="1164">
        <v>8</v>
      </c>
      <c r="AD59" s="1164">
        <v>8</v>
      </c>
      <c r="AE59" s="1164">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0501CE-150E-1164-91D6-0.780306F3}"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1072" width="4.7109375" hidden="1" customWidth="1"/>
    <col min="2" max="2" style="945" width="4.7109375" hidden="1" customWidth="1"/>
    <col min="3" max="4" style="1072" width="4.7109375" hidden="1" customWidth="1"/>
    <col min="5" max="5" style="1072" width="3.00390625" customWidth="1"/>
    <col min="6" max="6" style="1072" width="6.00390625" customWidth="1"/>
    <col min="7" max="7" style="1072" width="18.00390625" customWidth="1"/>
    <col min="8" max="8" style="1072" width="27.00390625" customWidth="1"/>
    <col min="9" max="9" style="1072" width="18.00390625" customWidth="1"/>
    <col min="10" max="14" style="1072" width="0.8515625" hidden="1" customWidth="1"/>
    <col min="15" max="28" style="1072" width="21.7109375" customWidth="1"/>
    <col min="29" max="71" style="1072" width="0.8515625" customWidth="1"/>
    <col min="72" max="79" style="1072" width="21.7109375" hidden="1" customWidth="1"/>
    <col min="80" max="81" style="1072" width="29.140625" hidden="1" customWidth="1"/>
    <col min="82" max="89" style="1072" width="21.7109375" hidden="1" customWidth="1"/>
    <col min="90" max="102" style="1072" width="0.7109375" hidden="1" customWidth="1"/>
    <col min="103" max="114" style="1072" width="21.7109375" hidden="1" customWidth="1"/>
    <col min="115" max="178" style="1072" width="0.7109375" hidden="1" customWidth="1"/>
    <col min="179" max="179" style="1072" width="0.140625" customWidth="1"/>
    <col min="180" max="184" style="1072" width="8.00390625" customWidth="1"/>
    <col min="185" max="185" style="1072" width="9.140625" hidden="1"/>
  </cols>
  <sheetData>
    <row s="934" customFormat="1" customHeight="1" ht="12" hidden="1">
      <c r="B1" s="932"/>
      <c r="C1" s="933"/>
      <c r="D1" s="933"/>
      <c r="GC1" s="931" t="s">
        <v>14</v>
      </c>
    </row>
    <row s="934" customFormat="1" customHeight="1" ht="12" hidden="1">
      <c r="B2" s="932"/>
      <c r="C2" s="933"/>
      <c r="D2" s="933"/>
      <c r="E2" s="933"/>
      <c r="F2" s="933"/>
      <c r="G2" s="933"/>
      <c r="H2" s="933"/>
      <c r="I2" s="933"/>
      <c r="J2" s="933"/>
      <c r="K2" s="933"/>
      <c r="L2" s="933"/>
      <c r="M2" s="933"/>
      <c r="N2" s="933"/>
      <c r="O2" s="933"/>
      <c r="P2" s="933"/>
      <c r="Q2" s="933"/>
      <c r="R2" s="933"/>
      <c r="S2" s="933"/>
      <c r="T2" s="933"/>
      <c r="U2" s="933"/>
      <c r="V2" s="933"/>
      <c r="W2" s="933"/>
      <c r="X2" s="933"/>
      <c r="Y2" s="933"/>
      <c r="Z2" s="933"/>
      <c r="AA2" s="933"/>
      <c r="AB2" s="934"/>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GC2" s="931">
        <v>0</v>
      </c>
    </row>
    <row s="934" customFormat="1" customHeight="1" ht="12" hidden="1">
      <c r="B3" s="932"/>
      <c r="C3" s="933"/>
      <c r="D3" s="933"/>
      <c r="E3" s="933"/>
      <c r="F3" s="933"/>
      <c r="G3" s="933"/>
      <c r="H3" s="933"/>
      <c r="I3" s="933"/>
      <c r="J3" s="933"/>
      <c r="K3" s="933"/>
      <c r="L3" s="933"/>
      <c r="M3" s="933"/>
      <c r="N3" s="933"/>
      <c r="O3" s="933"/>
      <c r="P3" s="933"/>
      <c r="Q3" s="933"/>
      <c r="R3" s="933"/>
      <c r="S3" s="933"/>
      <c r="T3" s="933"/>
      <c r="U3" s="933"/>
      <c r="V3" s="933"/>
      <c r="W3" s="933"/>
      <c r="X3" s="933"/>
      <c r="Y3" s="933"/>
      <c r="Z3" s="933"/>
      <c r="AA3" s="933"/>
      <c r="AB3" s="934"/>
      <c r="AC3" s="933"/>
      <c r="AD3" s="933"/>
      <c r="AE3" s="933"/>
      <c r="AF3" s="933"/>
      <c r="AG3" s="933"/>
      <c r="AH3" s="933"/>
      <c r="AI3" s="933"/>
      <c r="AJ3" s="933"/>
      <c r="AK3" s="933"/>
      <c r="AL3" s="933"/>
      <c r="AM3" s="933"/>
      <c r="AN3" s="933"/>
      <c r="AO3" s="933"/>
      <c r="AP3" s="933"/>
      <c r="AQ3" s="933"/>
      <c r="AR3" s="933"/>
      <c r="AS3" s="933"/>
      <c r="AT3" s="933"/>
      <c r="AU3" s="933"/>
      <c r="AV3" s="933"/>
      <c r="AW3" s="933"/>
      <c r="AX3" s="933"/>
      <c r="AY3" s="933"/>
      <c r="AZ3" s="933"/>
      <c r="BA3" s="933"/>
      <c r="BB3" s="933"/>
      <c r="BC3" s="933"/>
      <c r="BD3" s="933"/>
      <c r="BE3" s="933"/>
      <c r="BF3" s="933"/>
      <c r="BG3" s="933"/>
      <c r="BH3" s="933"/>
      <c r="BI3" s="933"/>
      <c r="BJ3" s="933"/>
      <c r="BK3" s="933"/>
      <c r="BL3" s="933"/>
      <c r="BM3" s="933"/>
      <c r="BN3" s="933"/>
      <c r="BO3" s="933"/>
      <c r="BP3" s="933"/>
      <c r="BQ3" s="933"/>
      <c r="BR3" s="933"/>
      <c r="BS3" s="933"/>
      <c r="BT3" s="933"/>
      <c r="BU3" s="933"/>
      <c r="BV3" s="933"/>
      <c r="BW3" s="933"/>
      <c r="BX3" s="933"/>
      <c r="BY3" s="933"/>
      <c r="BZ3" s="933"/>
      <c r="CA3" s="933"/>
      <c r="CB3" s="933"/>
      <c r="CC3" s="933"/>
      <c r="CD3" s="933"/>
      <c r="CE3" s="933"/>
      <c r="CF3" s="933"/>
      <c r="CG3" s="933"/>
      <c r="CH3" s="933"/>
      <c r="CI3" s="933"/>
      <c r="CJ3" s="933"/>
      <c r="CK3" s="933"/>
      <c r="CL3" s="933"/>
      <c r="CM3" s="933"/>
      <c r="CN3" s="933"/>
      <c r="CO3" s="933"/>
      <c r="CP3" s="933"/>
      <c r="CQ3" s="933"/>
      <c r="CR3" s="933"/>
      <c r="CS3" s="933"/>
      <c r="CT3" s="933"/>
      <c r="CU3" s="933"/>
      <c r="CV3" s="933"/>
      <c r="CW3" s="933"/>
      <c r="CX3" s="933"/>
      <c r="CY3" s="933"/>
      <c r="CZ3" s="933"/>
      <c r="DA3" s="933"/>
      <c r="DB3" s="933"/>
      <c r="DC3" s="933"/>
      <c r="DD3" s="933"/>
      <c r="DE3" s="933"/>
      <c r="DF3" s="933"/>
      <c r="DG3" s="933"/>
      <c r="DH3" s="933"/>
      <c r="DI3" s="933"/>
      <c r="DJ3" s="933"/>
      <c r="DK3" s="933"/>
      <c r="DL3" s="933"/>
      <c r="DM3" s="933"/>
      <c r="DN3" s="933"/>
      <c r="DO3" s="933"/>
      <c r="DP3" s="933"/>
      <c r="DQ3" s="933"/>
      <c r="DR3" s="933"/>
      <c r="DS3" s="933"/>
      <c r="DT3" s="933"/>
      <c r="DU3" s="933"/>
      <c r="DV3" s="933"/>
      <c r="DW3" s="933"/>
      <c r="DX3" s="933"/>
      <c r="DY3" s="933"/>
      <c r="DZ3" s="933"/>
      <c r="EA3" s="933"/>
      <c r="EB3" s="933"/>
      <c r="EC3" s="933"/>
      <c r="ED3" s="933"/>
      <c r="EE3" s="933"/>
      <c r="EF3" s="933"/>
      <c r="EG3" s="933"/>
      <c r="EH3" s="933"/>
      <c r="EI3" s="933"/>
      <c r="EJ3" s="933"/>
      <c r="EK3" s="933"/>
      <c r="EL3" s="933"/>
      <c r="EM3" s="933"/>
      <c r="EN3" s="933"/>
      <c r="EO3" s="933"/>
      <c r="EP3" s="933"/>
      <c r="EQ3" s="933"/>
      <c r="ER3" s="933"/>
      <c r="ES3" s="933"/>
      <c r="ET3" s="933"/>
      <c r="EU3" s="933"/>
      <c r="EV3" s="933"/>
      <c r="EW3" s="933"/>
      <c r="EX3" s="933"/>
      <c r="EY3" s="933"/>
      <c r="EZ3" s="933"/>
      <c r="FA3" s="933"/>
      <c r="FB3" s="933"/>
      <c r="FC3" s="933"/>
      <c r="FD3" s="933"/>
      <c r="FE3" s="933"/>
      <c r="FF3" s="933"/>
      <c r="FG3" s="933"/>
      <c r="FH3" s="933"/>
      <c r="FI3" s="933"/>
      <c r="FJ3" s="933"/>
      <c r="FK3" s="933"/>
      <c r="FL3" s="933"/>
      <c r="FM3" s="933"/>
      <c r="FN3" s="933"/>
      <c r="FO3" s="933"/>
      <c r="FP3" s="933"/>
      <c r="FQ3" s="933"/>
      <c r="FR3" s="933"/>
      <c r="FS3" s="933"/>
      <c r="FT3" s="933"/>
      <c r="FU3" s="933"/>
      <c r="FV3" s="933"/>
      <c r="FW3" s="933"/>
      <c r="GC3" s="931">
        <v>0</v>
      </c>
    </row>
    <row customHeight="1" ht="10.5">
      <c r="B4" s="936"/>
      <c r="C4" s="937"/>
      <c r="D4" s="937"/>
      <c r="E4" s="937"/>
      <c r="F4" s="937"/>
      <c r="G4" s="937"/>
      <c r="H4" s="938"/>
      <c r="I4" s="938"/>
      <c r="J4" s="938"/>
      <c r="K4" s="938"/>
      <c r="L4" s="938"/>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c r="BZ4" s="939"/>
      <c r="CA4" s="939"/>
      <c r="CB4" s="939"/>
      <c r="CC4" s="939"/>
      <c r="CD4" s="939"/>
      <c r="CE4" s="939"/>
      <c r="CF4" s="939"/>
      <c r="CG4" s="939"/>
      <c r="CH4" s="939"/>
      <c r="CI4" s="939"/>
      <c r="CJ4" s="939"/>
      <c r="CK4" s="939"/>
      <c r="CL4" s="939"/>
      <c r="CM4" s="939"/>
      <c r="CN4" s="939"/>
      <c r="CO4" s="939"/>
      <c r="CP4" s="939"/>
      <c r="CQ4" s="939"/>
      <c r="CR4" s="939"/>
      <c r="CS4" s="939"/>
      <c r="CT4" s="939"/>
      <c r="CU4" s="939"/>
      <c r="CV4" s="939"/>
      <c r="CW4" s="939"/>
      <c r="CX4" s="939"/>
      <c r="CY4" s="939"/>
      <c r="CZ4" s="939"/>
      <c r="DA4" s="939"/>
      <c r="DB4" s="939"/>
      <c r="DC4" s="939"/>
      <c r="DD4" s="939"/>
      <c r="DE4" s="939"/>
      <c r="DF4" s="939"/>
      <c r="DG4" s="939"/>
      <c r="DH4" s="939"/>
      <c r="DI4" s="939"/>
      <c r="DJ4" s="939"/>
      <c r="DK4" s="939"/>
      <c r="DL4" s="939"/>
      <c r="DM4" s="939"/>
      <c r="DN4" s="939"/>
      <c r="DO4" s="939"/>
      <c r="DP4" s="939"/>
      <c r="DQ4" s="939"/>
      <c r="DR4" s="939"/>
      <c r="DS4" s="939"/>
      <c r="DT4" s="939"/>
      <c r="DU4" s="939"/>
      <c r="DV4" s="939"/>
      <c r="DW4" s="939"/>
      <c r="DX4" s="939"/>
      <c r="DY4" s="939"/>
      <c r="DZ4" s="939"/>
      <c r="EA4" s="939"/>
      <c r="EB4" s="939"/>
      <c r="EC4" s="939"/>
      <c r="ED4" s="939"/>
      <c r="EE4" s="939"/>
      <c r="EF4" s="939"/>
      <c r="EG4" s="939"/>
      <c r="EH4" s="939"/>
      <c r="EI4" s="939"/>
      <c r="EJ4" s="939"/>
      <c r="EK4" s="939"/>
      <c r="EL4" s="939"/>
      <c r="EM4" s="939"/>
      <c r="EN4" s="939"/>
      <c r="EO4" s="939"/>
      <c r="EP4" s="939"/>
      <c r="EQ4" s="939"/>
      <c r="ER4" s="939"/>
      <c r="ES4" s="939"/>
      <c r="ET4" s="939"/>
      <c r="EU4" s="939"/>
      <c r="EV4" s="939"/>
      <c r="EW4" s="939"/>
      <c r="EX4" s="939"/>
      <c r="EY4" s="939"/>
      <c r="EZ4" s="939"/>
      <c r="FA4" s="939"/>
      <c r="FB4" s="939"/>
      <c r="FC4" s="939"/>
      <c r="FD4" s="939"/>
      <c r="FE4" s="939"/>
      <c r="FF4" s="939"/>
      <c r="FG4" s="939"/>
      <c r="FH4" s="939"/>
      <c r="FI4" s="939"/>
      <c r="FJ4" s="939"/>
      <c r="FK4" s="939"/>
      <c r="FL4" s="939"/>
      <c r="FM4" s="939"/>
      <c r="FN4" s="939"/>
      <c r="FO4" s="939"/>
      <c r="FP4" s="939"/>
      <c r="FQ4" s="939"/>
      <c r="FR4" s="939"/>
      <c r="FS4" s="939"/>
      <c r="FT4" s="939"/>
      <c r="FU4" s="939"/>
      <c r="FV4" s="939"/>
      <c r="FW4" s="939"/>
      <c r="GC4" s="935">
        <v>10</v>
      </c>
    </row>
    <row s="1879" customFormat="1" customHeight="1" ht="27.299999999999997">
      <c r="B5" s="1878"/>
      <c r="E5" s="1880"/>
      <c r="F5" s="246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97"/>
      <c r="H5" s="2197"/>
      <c r="I5" s="2197"/>
      <c r="J5" s="2197"/>
      <c r="K5" s="2197"/>
      <c r="L5" s="2197"/>
      <c r="M5" s="2197"/>
      <c r="N5" s="2197"/>
      <c r="O5" s="2197"/>
      <c r="P5" s="2197"/>
      <c r="Q5" s="2197"/>
      <c r="R5" s="2197"/>
      <c r="S5" s="2197"/>
      <c r="T5" s="2197"/>
      <c r="U5" s="2197"/>
      <c r="V5" s="2197"/>
      <c r="W5" s="2197"/>
      <c r="X5" s="2197"/>
      <c r="Y5" s="2197"/>
      <c r="Z5" s="2197"/>
      <c r="AA5" s="2197"/>
      <c r="AB5" s="2197"/>
      <c r="AC5" s="2197"/>
      <c r="AD5" s="2197"/>
      <c r="AE5" s="2197"/>
      <c r="AF5" s="2197"/>
      <c r="AG5" s="2197"/>
      <c r="AH5" s="2197"/>
      <c r="AI5" s="2197"/>
      <c r="AJ5" s="2197"/>
      <c r="AK5" s="2197"/>
      <c r="AL5" s="2197"/>
      <c r="AM5" s="2197"/>
      <c r="AN5" s="2197"/>
      <c r="AO5" s="2197"/>
      <c r="AP5" s="2197"/>
      <c r="AQ5" s="2197"/>
      <c r="AR5" s="2197"/>
      <c r="AS5" s="2197"/>
      <c r="AT5" s="2197"/>
      <c r="AU5" s="2197"/>
      <c r="AV5" s="2197"/>
      <c r="AW5" s="2197"/>
      <c r="AX5" s="2197"/>
      <c r="AY5" s="2197"/>
      <c r="AZ5" s="2197"/>
      <c r="BA5" s="2197"/>
      <c r="BB5" s="2197"/>
      <c r="BC5" s="2197"/>
      <c r="BD5" s="2197"/>
      <c r="BE5" s="2197"/>
      <c r="BF5" s="2197"/>
      <c r="BG5" s="2197"/>
      <c r="BH5" s="2197"/>
      <c r="BI5" s="2197"/>
      <c r="BJ5" s="2197"/>
      <c r="BK5" s="2197"/>
      <c r="BL5" s="2197"/>
      <c r="BM5" s="2197"/>
      <c r="BN5" s="2197"/>
      <c r="BO5" s="2197"/>
      <c r="BP5" s="2197"/>
      <c r="BQ5" s="2197"/>
      <c r="BR5" s="2197"/>
      <c r="BS5" s="2197"/>
      <c r="GC5" s="1879">
        <v>26</v>
      </c>
    </row>
    <row s="2166" customFormat="1" customHeight="1" ht="18.75">
      <c r="B6" s="952"/>
      <c r="E6" s="954"/>
      <c r="F6" s="2242" t="str">
        <f>IF(org=0,"Не определено",org)</f>
        <v>АО "ДГК"</v>
      </c>
      <c r="G6" s="2243"/>
      <c r="H6" s="2243"/>
      <c r="I6" s="2243"/>
      <c r="J6" s="2243"/>
      <c r="K6" s="2243"/>
      <c r="L6" s="2243"/>
      <c r="M6" s="2243"/>
      <c r="N6" s="2243"/>
      <c r="O6" s="2243"/>
      <c r="P6" s="2243"/>
      <c r="Q6" s="2243"/>
      <c r="R6" s="2243"/>
      <c r="S6" s="2243"/>
      <c r="T6" s="2243"/>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c r="AT6" s="2243"/>
      <c r="AU6" s="2243"/>
      <c r="AV6" s="2243"/>
      <c r="AW6" s="2243"/>
      <c r="AX6" s="2243"/>
      <c r="AY6" s="2243"/>
      <c r="AZ6" s="2243"/>
      <c r="BA6" s="2243"/>
      <c r="BB6" s="2243"/>
      <c r="BC6" s="2243"/>
      <c r="BD6" s="2243"/>
      <c r="BE6" s="2243"/>
      <c r="BF6" s="2243"/>
      <c r="BG6" s="2243"/>
      <c r="BH6" s="2243"/>
      <c r="BI6" s="2243"/>
      <c r="BJ6" s="2243"/>
      <c r="BK6" s="2243"/>
      <c r="BL6" s="2243"/>
      <c r="BM6" s="2243"/>
      <c r="BN6" s="2243"/>
      <c r="BO6" s="2243"/>
      <c r="BP6" s="2243"/>
      <c r="BQ6" s="2243"/>
      <c r="BR6" s="2243"/>
      <c r="BS6" s="2243"/>
      <c r="GC6" s="953">
        <v>18</v>
      </c>
    </row>
    <row s="942" customFormat="1" customHeight="1" ht="10.5">
      <c r="B7" s="941"/>
      <c r="E7" s="942"/>
      <c r="F7" s="942"/>
      <c r="G7" s="944"/>
      <c r="H7" s="938"/>
      <c r="I7" s="938"/>
      <c r="J7" s="938"/>
      <c r="K7" s="938"/>
      <c r="L7" s="938"/>
      <c r="M7" s="942"/>
      <c r="N7" s="942"/>
      <c r="O7" s="942"/>
      <c r="P7" s="942"/>
      <c r="Q7" s="942"/>
      <c r="R7" s="942"/>
      <c r="S7" s="942"/>
      <c r="T7" s="942"/>
      <c r="U7" s="942"/>
      <c r="V7" s="942"/>
      <c r="W7" s="942"/>
      <c r="X7" s="942"/>
      <c r="Y7" s="942"/>
      <c r="Z7" s="942"/>
      <c r="AA7" s="942"/>
      <c r="AB7" s="942"/>
      <c r="AC7" s="942"/>
      <c r="AD7" s="942"/>
      <c r="AE7" s="942"/>
      <c r="AF7" s="942"/>
      <c r="AG7" s="942"/>
      <c r="AH7" s="942"/>
      <c r="AI7" s="942"/>
      <c r="AJ7" s="942"/>
      <c r="AK7" s="942"/>
      <c r="AL7" s="942"/>
      <c r="AM7" s="942"/>
      <c r="AN7" s="942"/>
      <c r="AO7" s="942"/>
      <c r="AP7" s="942"/>
      <c r="AQ7" s="942"/>
      <c r="AR7" s="942"/>
      <c r="AS7" s="942"/>
      <c r="AT7" s="942"/>
      <c r="AU7" s="942"/>
      <c r="AV7" s="942"/>
      <c r="AW7" s="942"/>
      <c r="AX7" s="942"/>
      <c r="AY7" s="942"/>
      <c r="AZ7" s="942"/>
      <c r="BA7" s="942"/>
      <c r="BB7" s="942"/>
      <c r="BC7" s="942"/>
      <c r="BD7" s="942"/>
      <c r="BE7" s="942"/>
      <c r="BF7" s="942"/>
      <c r="BG7" s="942"/>
      <c r="BH7" s="942"/>
      <c r="BI7" s="942"/>
      <c r="BJ7" s="942"/>
      <c r="BK7" s="942"/>
      <c r="BL7" s="942"/>
      <c r="BM7" s="942"/>
      <c r="BN7" s="942"/>
      <c r="BO7" s="942"/>
      <c r="BP7" s="942"/>
      <c r="BQ7" s="942"/>
      <c r="BR7" s="942"/>
      <c r="BS7" s="942"/>
      <c r="BT7" s="942"/>
      <c r="BU7" s="942"/>
      <c r="BV7" s="942"/>
      <c r="BW7" s="942"/>
      <c r="BX7" s="942"/>
      <c r="BY7" s="942"/>
      <c r="BZ7" s="942"/>
      <c r="CA7" s="942"/>
      <c r="CB7" s="942"/>
      <c r="CC7" s="942"/>
      <c r="CD7" s="942"/>
      <c r="CE7" s="942"/>
      <c r="CF7" s="942"/>
      <c r="CG7" s="942"/>
      <c r="CH7" s="942"/>
      <c r="CI7" s="942"/>
      <c r="CJ7" s="942"/>
      <c r="CK7" s="942"/>
      <c r="CL7" s="942"/>
      <c r="CM7" s="942"/>
      <c r="CN7" s="942"/>
      <c r="CO7" s="942"/>
      <c r="CP7" s="942"/>
      <c r="CQ7" s="942"/>
      <c r="CR7" s="942"/>
      <c r="CS7" s="942"/>
      <c r="CT7" s="942"/>
      <c r="CU7" s="942"/>
      <c r="CV7" s="942"/>
      <c r="CW7" s="942"/>
      <c r="CX7" s="942"/>
      <c r="CY7" s="942"/>
      <c r="CZ7" s="942"/>
      <c r="DA7" s="942"/>
      <c r="DB7" s="942"/>
      <c r="DC7" s="942"/>
      <c r="DD7" s="942"/>
      <c r="DE7" s="942"/>
      <c r="DF7" s="942"/>
      <c r="DG7" s="942"/>
      <c r="DH7" s="942"/>
      <c r="DI7" s="942"/>
      <c r="DJ7" s="942"/>
      <c r="DK7" s="942"/>
      <c r="DL7" s="942"/>
      <c r="DM7" s="942"/>
      <c r="DN7" s="942"/>
      <c r="DO7" s="942"/>
      <c r="DP7" s="942"/>
      <c r="DQ7" s="942"/>
      <c r="DR7" s="942"/>
      <c r="DS7" s="942"/>
      <c r="DT7" s="942"/>
      <c r="DU7" s="942"/>
      <c r="DV7" s="942"/>
      <c r="DW7" s="942"/>
      <c r="DX7" s="942"/>
      <c r="DY7" s="942"/>
      <c r="DZ7" s="942"/>
      <c r="EA7" s="942"/>
      <c r="EB7" s="942"/>
      <c r="EC7" s="942"/>
      <c r="ED7" s="942"/>
      <c r="EE7" s="942"/>
      <c r="EF7" s="942"/>
      <c r="EG7" s="942"/>
      <c r="EH7" s="942"/>
      <c r="EI7" s="942"/>
      <c r="EJ7" s="942"/>
      <c r="EK7" s="942"/>
      <c r="EL7" s="942"/>
      <c r="EM7" s="942"/>
      <c r="EN7" s="942"/>
      <c r="EO7" s="942"/>
      <c r="EP7" s="942"/>
      <c r="EQ7" s="942"/>
      <c r="ER7" s="942"/>
      <c r="ES7" s="942"/>
      <c r="ET7" s="942"/>
      <c r="EU7" s="942"/>
      <c r="EV7" s="942"/>
      <c r="EW7" s="942"/>
      <c r="EX7" s="942"/>
      <c r="EY7" s="942"/>
      <c r="EZ7" s="942"/>
      <c r="FA7" s="942"/>
      <c r="FB7" s="942"/>
      <c r="FC7" s="942"/>
      <c r="FD7" s="942"/>
      <c r="FE7" s="942"/>
      <c r="FF7" s="942"/>
      <c r="FG7" s="942"/>
      <c r="FH7" s="942"/>
      <c r="FI7" s="942"/>
      <c r="FJ7" s="942"/>
      <c r="FK7" s="942"/>
      <c r="FL7" s="942"/>
      <c r="FM7" s="942"/>
      <c r="FN7" s="942"/>
      <c r="FO7" s="942"/>
      <c r="FP7" s="942"/>
      <c r="FQ7" s="942"/>
      <c r="FR7" s="942"/>
      <c r="FS7" s="942"/>
      <c r="FT7" s="942"/>
      <c r="FU7" s="942"/>
      <c r="FV7" s="942"/>
      <c r="FW7" s="942"/>
      <c r="GC7" s="940">
        <v>10</v>
      </c>
    </row>
    <row s="942" customFormat="1" customHeight="1" ht="11.25" hidden="1">
      <c r="B8" s="943"/>
      <c r="F8" s="1065"/>
      <c r="G8" s="772"/>
      <c r="H8" s="369"/>
      <c r="I8" s="369"/>
      <c r="J8" s="369"/>
      <c r="K8" s="369"/>
      <c r="L8" s="369"/>
      <c r="M8" s="1065"/>
      <c r="N8" s="1065"/>
      <c r="O8" s="2478" t="s">
        <v>1378</v>
      </c>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479"/>
      <c r="AP8" s="2479"/>
      <c r="AQ8" s="2479"/>
      <c r="AR8" s="2479"/>
      <c r="AS8" s="2479"/>
      <c r="AT8" s="2479"/>
      <c r="AU8" s="2479"/>
      <c r="AV8" s="2479"/>
      <c r="AW8" s="2479"/>
      <c r="AX8" s="2479"/>
      <c r="AY8" s="2479"/>
      <c r="AZ8" s="2479"/>
      <c r="BA8" s="2479"/>
      <c r="BB8" s="2479"/>
      <c r="BC8" s="2479"/>
      <c r="BD8" s="2479"/>
      <c r="BE8" s="2479"/>
      <c r="BF8" s="2479"/>
      <c r="BG8" s="2479"/>
      <c r="BH8" s="2479"/>
      <c r="BI8" s="2479"/>
      <c r="BJ8" s="2479"/>
      <c r="BK8" s="2479"/>
      <c r="BL8" s="2479"/>
      <c r="BM8" s="2479"/>
      <c r="BN8" s="2479"/>
      <c r="BO8" s="2479"/>
      <c r="BP8" s="2479"/>
      <c r="BQ8" s="2479"/>
      <c r="BR8" s="2479"/>
      <c r="BS8" s="2480"/>
      <c r="BT8" s="2467"/>
      <c r="BU8" s="2468"/>
      <c r="BV8" s="2468"/>
      <c r="BW8" s="2468"/>
      <c r="BX8" s="2468"/>
      <c r="BY8" s="2468"/>
      <c r="BZ8" s="2468"/>
      <c r="CA8" s="2468"/>
      <c r="CB8" s="2468"/>
      <c r="CC8" s="2468"/>
      <c r="CD8" s="2468"/>
      <c r="CE8" s="2468"/>
      <c r="CF8" s="2468"/>
      <c r="CG8" s="2468"/>
      <c r="CH8" s="2468"/>
      <c r="CI8" s="2468"/>
      <c r="CJ8" s="2468"/>
      <c r="CK8" s="2468"/>
      <c r="CL8" s="2468"/>
      <c r="CM8" s="2468"/>
      <c r="CN8" s="2468"/>
      <c r="CO8" s="2468"/>
      <c r="CP8" s="2468"/>
      <c r="CQ8" s="2468"/>
      <c r="CR8" s="2468"/>
      <c r="CS8" s="2468"/>
      <c r="CT8" s="2468"/>
      <c r="CU8" s="2468"/>
      <c r="CV8" s="2468"/>
      <c r="CW8" s="2468"/>
      <c r="CX8" s="2469"/>
      <c r="CY8" s="2470"/>
      <c r="CZ8" s="2471"/>
      <c r="DA8" s="2471"/>
      <c r="DB8" s="2471"/>
      <c r="DC8" s="2471"/>
      <c r="DD8" s="2471"/>
      <c r="DE8" s="2471"/>
      <c r="DF8" s="2471"/>
      <c r="DG8" s="2471"/>
      <c r="DH8" s="2471"/>
      <c r="DI8" s="2471"/>
      <c r="DJ8" s="2471"/>
      <c r="DK8" s="2471"/>
      <c r="DL8" s="2471"/>
      <c r="DM8" s="2471"/>
      <c r="DN8" s="2471"/>
      <c r="DO8" s="2471"/>
      <c r="DP8" s="2471"/>
      <c r="DQ8" s="2471"/>
      <c r="DR8" s="2471"/>
      <c r="DS8" s="2471"/>
      <c r="DT8" s="2471"/>
      <c r="DU8" s="2471"/>
      <c r="DV8" s="2471"/>
      <c r="DW8" s="2471"/>
      <c r="DX8" s="2472"/>
      <c r="DY8" s="2473" t="s">
        <v>1379</v>
      </c>
      <c r="DZ8" s="2474"/>
      <c r="EA8" s="2474"/>
      <c r="EB8" s="2474"/>
      <c r="EC8" s="2474"/>
      <c r="ED8" s="2474"/>
      <c r="EE8" s="2474"/>
      <c r="EF8" s="2474"/>
      <c r="EG8" s="2474"/>
      <c r="EH8" s="2474"/>
      <c r="EI8" s="2474"/>
      <c r="EJ8" s="2474"/>
      <c r="EK8" s="2474"/>
      <c r="EL8" s="2474"/>
      <c r="EM8" s="2474"/>
      <c r="EN8" s="2474"/>
      <c r="EO8" s="2474"/>
      <c r="EP8" s="2474"/>
      <c r="EQ8" s="2474"/>
      <c r="ER8" s="2474"/>
      <c r="ES8" s="2474"/>
      <c r="ET8" s="2474"/>
      <c r="EU8" s="2474"/>
      <c r="EV8" s="2474"/>
      <c r="EW8" s="2474"/>
      <c r="EX8" s="2474"/>
      <c r="EY8" s="2474"/>
      <c r="EZ8" s="2474"/>
      <c r="FA8" s="2474"/>
      <c r="FB8" s="2474"/>
      <c r="FC8" s="2474"/>
      <c r="FD8" s="2474"/>
      <c r="FE8" s="2474"/>
      <c r="FF8" s="2474"/>
      <c r="FG8" s="2474"/>
      <c r="FH8" s="2474"/>
      <c r="FI8" s="2474"/>
      <c r="FJ8" s="2474"/>
      <c r="FK8" s="2474"/>
      <c r="FL8" s="2474"/>
      <c r="FM8" s="2474"/>
      <c r="FN8" s="2474"/>
      <c r="FO8" s="2474"/>
      <c r="FP8" s="2474"/>
      <c r="FQ8" s="2474"/>
      <c r="FR8" s="2474"/>
      <c r="FS8" s="2474"/>
      <c r="FT8" s="2474"/>
      <c r="FU8" s="2474"/>
      <c r="FV8" s="2474"/>
      <c r="FW8" s="2475"/>
      <c r="FX8" s="1065"/>
      <c r="GC8" s="942">
        <v>0</v>
      </c>
    </row>
    <row s="942" customFormat="1" customHeight="1" ht="11.25" hidden="1">
      <c r="B9" s="943"/>
      <c r="F9" s="1065"/>
      <c r="G9" s="772"/>
      <c r="H9" s="369"/>
      <c r="I9" s="369"/>
      <c r="J9" s="369"/>
      <c r="K9" s="369"/>
      <c r="L9" s="369"/>
      <c r="M9" s="1065"/>
      <c r="N9" s="1065"/>
      <c r="O9" s="1065"/>
      <c r="P9" s="1065"/>
      <c r="Q9" s="1065"/>
      <c r="R9" s="1065"/>
      <c r="S9" s="1065"/>
      <c r="T9" s="1065"/>
      <c r="U9" s="1065"/>
      <c r="V9" s="1065"/>
      <c r="W9" s="1065"/>
      <c r="X9" s="1065"/>
      <c r="Y9" s="1065"/>
      <c r="Z9" s="1065"/>
      <c r="AA9" s="1065"/>
      <c r="AB9" s="1065"/>
      <c r="AC9" s="1065"/>
      <c r="AD9" s="1065"/>
      <c r="AE9" s="1065"/>
      <c r="AF9" s="1065"/>
      <c r="AG9" s="1065"/>
      <c r="AH9" s="1065"/>
      <c r="AI9" s="1065"/>
      <c r="AJ9" s="1065"/>
      <c r="AK9" s="1065"/>
      <c r="AL9" s="1065"/>
      <c r="AM9" s="1065"/>
      <c r="AN9" s="1065"/>
      <c r="AO9" s="1065"/>
      <c r="AP9" s="1065"/>
      <c r="AQ9" s="1065"/>
      <c r="AR9" s="1065"/>
      <c r="AS9" s="1065"/>
      <c r="AT9" s="1065"/>
      <c r="AU9" s="1065"/>
      <c r="AV9" s="1065"/>
      <c r="AW9" s="1065"/>
      <c r="AX9" s="1065"/>
      <c r="AY9" s="1065"/>
      <c r="AZ9" s="1065"/>
      <c r="BA9" s="1065"/>
      <c r="BB9" s="1065"/>
      <c r="BC9" s="1065"/>
      <c r="BD9" s="1065"/>
      <c r="BE9" s="1065"/>
      <c r="BF9" s="1065"/>
      <c r="BG9" s="1065"/>
      <c r="BH9" s="1065"/>
      <c r="BI9" s="1065"/>
      <c r="BJ9" s="1065"/>
      <c r="BK9" s="1065"/>
      <c r="BL9" s="1065"/>
      <c r="BM9" s="1065"/>
      <c r="BN9" s="1065"/>
      <c r="BO9" s="1065"/>
      <c r="BP9" s="1065"/>
      <c r="BQ9" s="1065"/>
      <c r="BR9" s="1065"/>
      <c r="BS9" s="1065"/>
      <c r="BT9" s="1065"/>
      <c r="BU9" s="1065"/>
      <c r="BV9" s="1065"/>
      <c r="BW9" s="1065"/>
      <c r="BX9" s="1065"/>
      <c r="BY9" s="1065"/>
      <c r="BZ9" s="1065"/>
      <c r="CA9" s="1065"/>
      <c r="CB9" s="1065"/>
      <c r="CC9" s="1065"/>
      <c r="CD9" s="1065"/>
      <c r="CE9" s="1065"/>
      <c r="CF9" s="1065"/>
      <c r="CG9" s="1065"/>
      <c r="CH9" s="1065"/>
      <c r="CI9" s="1065"/>
      <c r="CJ9" s="1065"/>
      <c r="CK9" s="1065"/>
      <c r="CL9" s="1065"/>
      <c r="CM9" s="1065"/>
      <c r="CN9" s="1065"/>
      <c r="CO9" s="1065"/>
      <c r="CP9" s="1065"/>
      <c r="CQ9" s="1065"/>
      <c r="CR9" s="1065"/>
      <c r="CS9" s="1065"/>
      <c r="CT9" s="1065"/>
      <c r="CU9" s="1065"/>
      <c r="CV9" s="1065"/>
      <c r="CW9" s="1065"/>
      <c r="CX9" s="1065"/>
      <c r="CY9" s="1065"/>
      <c r="CZ9" s="1065"/>
      <c r="DA9" s="1065"/>
      <c r="DB9" s="1065"/>
      <c r="DC9" s="1065"/>
      <c r="DD9" s="1065"/>
      <c r="DE9" s="1065"/>
      <c r="DF9" s="1065"/>
      <c r="DG9" s="1065"/>
      <c r="DH9" s="1065"/>
      <c r="DI9" s="1065"/>
      <c r="DJ9" s="1065"/>
      <c r="DK9" s="1065"/>
      <c r="DL9" s="1065"/>
      <c r="DM9" s="1065"/>
      <c r="DN9" s="1065"/>
      <c r="DO9" s="1065"/>
      <c r="DP9" s="1065"/>
      <c r="DQ9" s="1065"/>
      <c r="DR9" s="1065"/>
      <c r="DS9" s="1065"/>
      <c r="DT9" s="1065"/>
      <c r="DU9" s="1065"/>
      <c r="DV9" s="1065"/>
      <c r="DW9" s="1065"/>
      <c r="DX9" s="1065"/>
      <c r="DY9" s="1065"/>
      <c r="DZ9" s="1065"/>
      <c r="EA9" s="1065"/>
      <c r="EB9" s="1065"/>
      <c r="EC9" s="1065"/>
      <c r="ED9" s="1065"/>
      <c r="EE9" s="1065"/>
      <c r="EF9" s="1065"/>
      <c r="EG9" s="1065"/>
      <c r="EH9" s="1065"/>
      <c r="EI9" s="1065"/>
      <c r="EJ9" s="1065"/>
      <c r="EK9" s="1065"/>
      <c r="EL9" s="1065"/>
      <c r="EM9" s="1065"/>
      <c r="EN9" s="1065"/>
      <c r="EO9" s="1065"/>
      <c r="EP9" s="1065"/>
      <c r="EQ9" s="1065"/>
      <c r="ER9" s="1065"/>
      <c r="ES9" s="1065"/>
      <c r="ET9" s="1065"/>
      <c r="EU9" s="1065"/>
      <c r="EV9" s="1065"/>
      <c r="EW9" s="1065"/>
      <c r="EX9" s="1065"/>
      <c r="EY9" s="1065"/>
      <c r="EZ9" s="1065"/>
      <c r="FA9" s="1065"/>
      <c r="FB9" s="1065"/>
      <c r="FC9" s="1065"/>
      <c r="FD9" s="1065"/>
      <c r="FE9" s="1065"/>
      <c r="FF9" s="1065"/>
      <c r="FG9" s="1065"/>
      <c r="FH9" s="1065"/>
      <c r="FI9" s="1065"/>
      <c r="FJ9" s="1065"/>
      <c r="FK9" s="1065"/>
      <c r="FL9" s="1065"/>
      <c r="FM9" s="1065"/>
      <c r="FN9" s="1065"/>
      <c r="FO9" s="1065"/>
      <c r="FP9" s="1065"/>
      <c r="FQ9" s="1065"/>
      <c r="FR9" s="1065"/>
      <c r="FS9" s="1065"/>
      <c r="FT9" s="1065"/>
      <c r="FU9" s="1065"/>
      <c r="FV9" s="1065"/>
      <c r="FW9" s="2476"/>
      <c r="FX9" s="1065"/>
      <c r="GC9" s="942">
        <v>0</v>
      </c>
    </row>
    <row s="942" customFormat="1" customHeight="1" ht="11.549999999999999">
      <c r="B10" s="943"/>
      <c r="F10" s="2457" t="s">
        <v>315</v>
      </c>
      <c r="G10" s="2458"/>
      <c r="H10" s="2458"/>
      <c r="I10" s="2458"/>
      <c r="J10" s="2458"/>
      <c r="K10" s="2458"/>
      <c r="L10" s="2458"/>
      <c r="M10" s="2458"/>
      <c r="N10" s="2458"/>
      <c r="O10" s="2458"/>
      <c r="P10" s="2458"/>
      <c r="Q10" s="2458"/>
      <c r="R10" s="2458"/>
      <c r="S10" s="2458"/>
      <c r="T10" s="2458"/>
      <c r="U10" s="2458"/>
      <c r="V10" s="2458"/>
      <c r="W10" s="2458"/>
      <c r="X10" s="2458"/>
      <c r="Y10" s="2458"/>
      <c r="Z10" s="2458"/>
      <c r="AA10" s="2458"/>
      <c r="AB10" s="2458"/>
      <c r="AC10" s="2458"/>
      <c r="AD10" s="2458"/>
      <c r="AE10" s="2458"/>
      <c r="AF10" s="2458"/>
      <c r="AG10" s="2458"/>
      <c r="AH10" s="2458"/>
      <c r="AI10" s="2458"/>
      <c r="AJ10" s="2458"/>
      <c r="AK10" s="2458"/>
      <c r="AL10" s="2458"/>
      <c r="AM10" s="2458"/>
      <c r="AN10" s="2458"/>
      <c r="AO10" s="2458"/>
      <c r="AP10" s="2458"/>
      <c r="AQ10" s="2458"/>
      <c r="AR10" s="2458"/>
      <c r="AS10" s="2458"/>
      <c r="AT10" s="2458"/>
      <c r="AU10" s="2458"/>
      <c r="AV10" s="2458"/>
      <c r="AW10" s="2458"/>
      <c r="AX10" s="2458"/>
      <c r="AY10" s="2458"/>
      <c r="AZ10" s="2458"/>
      <c r="BA10" s="2458"/>
      <c r="BB10" s="2458"/>
      <c r="BC10" s="2458"/>
      <c r="BD10" s="2458"/>
      <c r="BE10" s="2458"/>
      <c r="BF10" s="2458"/>
      <c r="BG10" s="2458"/>
      <c r="BH10" s="2458"/>
      <c r="BI10" s="2458"/>
      <c r="BJ10" s="2458"/>
      <c r="BK10" s="2458"/>
      <c r="BL10" s="2458"/>
      <c r="BM10" s="2458"/>
      <c r="BN10" s="2458"/>
      <c r="BO10" s="2458"/>
      <c r="BP10" s="2458"/>
      <c r="BQ10" s="2458"/>
      <c r="BR10" s="2458"/>
      <c r="BS10" s="2458"/>
      <c r="BT10" s="2458"/>
      <c r="BU10" s="2458"/>
      <c r="BV10" s="2458"/>
      <c r="BW10" s="2458"/>
      <c r="BX10" s="2458"/>
      <c r="BY10" s="2458"/>
      <c r="BZ10" s="2458"/>
      <c r="CA10" s="2458"/>
      <c r="CB10" s="2458"/>
      <c r="CC10" s="2458"/>
      <c r="CD10" s="2458"/>
      <c r="CE10" s="2458"/>
      <c r="CF10" s="2458"/>
      <c r="CG10" s="2458"/>
      <c r="CH10" s="2458"/>
      <c r="CI10" s="2458"/>
      <c r="CJ10" s="2458"/>
      <c r="CK10" s="2458"/>
      <c r="CL10" s="2458"/>
      <c r="CM10" s="2458"/>
      <c r="CN10" s="2458"/>
      <c r="CO10" s="2458"/>
      <c r="CP10" s="2458"/>
      <c r="CQ10" s="2458"/>
      <c r="CR10" s="2458"/>
      <c r="CS10" s="2458"/>
      <c r="CT10" s="2458"/>
      <c r="CU10" s="2458"/>
      <c r="CV10" s="2458"/>
      <c r="CW10" s="2458"/>
      <c r="CX10" s="2458"/>
      <c r="CY10" s="2458"/>
      <c r="CZ10" s="2458"/>
      <c r="DA10" s="2458"/>
      <c r="DB10" s="2458"/>
      <c r="DC10" s="2458"/>
      <c r="DD10" s="2458"/>
      <c r="DE10" s="2458"/>
      <c r="DF10" s="2458"/>
      <c r="DG10" s="2458"/>
      <c r="DH10" s="2458"/>
      <c r="DI10" s="2458"/>
      <c r="DJ10" s="2458"/>
      <c r="DK10" s="2458"/>
      <c r="DL10" s="2458"/>
      <c r="DM10" s="2458"/>
      <c r="DN10" s="2458"/>
      <c r="DO10" s="2458"/>
      <c r="DP10" s="2458"/>
      <c r="DQ10" s="2458"/>
      <c r="DR10" s="2458"/>
      <c r="DS10" s="2458"/>
      <c r="DT10" s="2458"/>
      <c r="DU10" s="2458"/>
      <c r="DV10" s="2458"/>
      <c r="DW10" s="2458"/>
      <c r="DX10" s="2458"/>
      <c r="DY10" s="2458"/>
      <c r="DZ10" s="2458"/>
      <c r="EA10" s="2458"/>
      <c r="EB10" s="2458"/>
      <c r="EC10" s="2458"/>
      <c r="ED10" s="2458"/>
      <c r="EE10" s="2458"/>
      <c r="EF10" s="2458"/>
      <c r="EG10" s="2458"/>
      <c r="EH10" s="2458"/>
      <c r="EI10" s="2458"/>
      <c r="EJ10" s="2458"/>
      <c r="EK10" s="2458"/>
      <c r="EL10" s="2458"/>
      <c r="EM10" s="2458"/>
      <c r="EN10" s="2458"/>
      <c r="EO10" s="2458"/>
      <c r="EP10" s="2458"/>
      <c r="EQ10" s="2458"/>
      <c r="ER10" s="2458"/>
      <c r="ES10" s="2458"/>
      <c r="ET10" s="2458"/>
      <c r="EU10" s="2458"/>
      <c r="EV10" s="2458"/>
      <c r="EW10" s="2458"/>
      <c r="EX10" s="2458"/>
      <c r="EY10" s="2458"/>
      <c r="EZ10" s="2458"/>
      <c r="FA10" s="2458"/>
      <c r="FB10" s="2458"/>
      <c r="FC10" s="2458"/>
      <c r="FD10" s="2458"/>
      <c r="FE10" s="2458"/>
      <c r="FF10" s="2458"/>
      <c r="FG10" s="2458"/>
      <c r="FH10" s="2458"/>
      <c r="FI10" s="2458"/>
      <c r="FJ10" s="2458"/>
      <c r="FK10" s="2458"/>
      <c r="FL10" s="2458"/>
      <c r="FM10" s="2458"/>
      <c r="FN10" s="2458"/>
      <c r="FO10" s="2458"/>
      <c r="FP10" s="2458"/>
      <c r="FQ10" s="2458"/>
      <c r="FR10" s="2458"/>
      <c r="FS10" s="2458"/>
      <c r="FT10" s="2458"/>
      <c r="FU10" s="2458"/>
      <c r="FV10" s="2459"/>
      <c r="FW10" s="2476"/>
      <c r="FX10" s="1065"/>
      <c r="GC10" s="942">
        <v>11</v>
      </c>
    </row>
    <row customHeight="1" ht="12.75">
      <c r="E11" s="946"/>
      <c r="F11" s="2233" t="s">
        <v>89</v>
      </c>
      <c r="G11" s="2233" t="s">
        <v>1380</v>
      </c>
      <c r="H11" s="2465" t="s">
        <v>1381</v>
      </c>
      <c r="I11" s="2465" t="s">
        <v>1382</v>
      </c>
      <c r="J11" s="2466"/>
      <c r="K11" s="2466"/>
      <c r="L11" s="2466"/>
      <c r="M11" s="2466"/>
      <c r="N11" s="2466"/>
      <c r="O11" s="2237" t="s">
        <v>1383</v>
      </c>
      <c r="P11" s="2237"/>
      <c r="Q11" s="2237"/>
      <c r="R11" s="2237"/>
      <c r="S11" s="2237"/>
      <c r="T11" s="2237"/>
      <c r="U11" s="2237"/>
      <c r="V11" s="2237"/>
      <c r="W11" s="2237"/>
      <c r="X11" s="2237"/>
      <c r="Y11" s="2237"/>
      <c r="Z11" s="2237"/>
      <c r="AA11" s="2237"/>
      <c r="AB11" s="2237"/>
      <c r="AC11" s="2462"/>
      <c r="AD11" s="2462"/>
      <c r="AE11" s="2462"/>
      <c r="AF11" s="2462"/>
      <c r="AG11" s="2462"/>
      <c r="AH11" s="2462"/>
      <c r="AI11" s="2462"/>
      <c r="AJ11" s="2462"/>
      <c r="AK11" s="2462"/>
      <c r="AL11" s="2462"/>
      <c r="AM11" s="2462"/>
      <c r="AN11" s="2462"/>
      <c r="AO11" s="2462"/>
      <c r="AP11" s="2462"/>
      <c r="AQ11" s="2462"/>
      <c r="AR11" s="2462"/>
      <c r="AS11" s="2462"/>
      <c r="AT11" s="2462"/>
      <c r="AU11" s="2462"/>
      <c r="AV11" s="2462"/>
      <c r="AW11" s="2462"/>
      <c r="AX11" s="2462"/>
      <c r="AY11" s="2462"/>
      <c r="AZ11" s="2462"/>
      <c r="BA11" s="2462"/>
      <c r="BB11" s="2462"/>
      <c r="BC11" s="2462"/>
      <c r="BD11" s="2462"/>
      <c r="BE11" s="2462"/>
      <c r="BF11" s="2462"/>
      <c r="BG11" s="2462"/>
      <c r="BH11" s="2462"/>
      <c r="BI11" s="2462"/>
      <c r="BJ11" s="2462"/>
      <c r="BK11" s="2462"/>
      <c r="BL11" s="2462"/>
      <c r="BM11" s="2462"/>
      <c r="BN11" s="2462"/>
      <c r="BO11" s="2462"/>
      <c r="BP11" s="2462"/>
      <c r="BQ11" s="2462"/>
      <c r="BR11" s="2462"/>
      <c r="BS11" s="2481"/>
      <c r="BT11" s="2414" t="s">
        <v>1383</v>
      </c>
      <c r="BU11" s="2415"/>
      <c r="BV11" s="2415"/>
      <c r="BW11" s="2415"/>
      <c r="BX11" s="2415"/>
      <c r="BY11" s="2415"/>
      <c r="BZ11" s="2415"/>
      <c r="CA11" s="2415"/>
      <c r="CB11" s="2415"/>
      <c r="CC11" s="2415"/>
      <c r="CD11" s="2415"/>
      <c r="CE11" s="2415"/>
      <c r="CF11" s="2415"/>
      <c r="CG11" s="2415"/>
      <c r="CH11" s="2415"/>
      <c r="CI11" s="2415"/>
      <c r="CJ11" s="2415"/>
      <c r="CK11" s="2461"/>
      <c r="CL11" s="2464"/>
      <c r="CM11" s="2462"/>
      <c r="CN11" s="2462"/>
      <c r="CO11" s="2462"/>
      <c r="CP11" s="2462"/>
      <c r="CQ11" s="2462"/>
      <c r="CR11" s="2462"/>
      <c r="CS11" s="2462"/>
      <c r="CT11" s="2462"/>
      <c r="CU11" s="2462"/>
      <c r="CV11" s="2462"/>
      <c r="CW11" s="2462"/>
      <c r="CX11" s="2481"/>
      <c r="CY11" s="2414" t="s">
        <v>1383</v>
      </c>
      <c r="CZ11" s="2415"/>
      <c r="DA11" s="2415"/>
      <c r="DB11" s="2415"/>
      <c r="DC11" s="2415"/>
      <c r="DD11" s="2415"/>
      <c r="DE11" s="2415"/>
      <c r="DF11" s="2415"/>
      <c r="DG11" s="2415"/>
      <c r="DH11" s="2415"/>
      <c r="DI11" s="2415"/>
      <c r="DJ11" s="2461"/>
      <c r="DK11" s="2464"/>
      <c r="DL11" s="2462"/>
      <c r="DM11" s="2462"/>
      <c r="DN11" s="2462"/>
      <c r="DO11" s="2462"/>
      <c r="DP11" s="2462"/>
      <c r="DQ11" s="2462"/>
      <c r="DR11" s="2462"/>
      <c r="DS11" s="2462"/>
      <c r="DT11" s="2462"/>
      <c r="DU11" s="2462"/>
      <c r="DV11" s="2462"/>
      <c r="DW11" s="2462"/>
      <c r="DX11" s="2462"/>
      <c r="DY11" s="2462"/>
      <c r="DZ11" s="2462"/>
      <c r="EA11" s="2462"/>
      <c r="EB11" s="2462"/>
      <c r="EC11" s="2462"/>
      <c r="ED11" s="2462"/>
      <c r="EE11" s="2462"/>
      <c r="EF11" s="2462"/>
      <c r="EG11" s="2462"/>
      <c r="EH11" s="2462"/>
      <c r="EI11" s="2462"/>
      <c r="EJ11" s="2462"/>
      <c r="EK11" s="2462"/>
      <c r="EL11" s="2462"/>
      <c r="EM11" s="2462"/>
      <c r="EN11" s="2462"/>
      <c r="EO11" s="2462"/>
      <c r="EP11" s="2462"/>
      <c r="EQ11" s="2462"/>
      <c r="ER11" s="2462"/>
      <c r="ES11" s="2462"/>
      <c r="ET11" s="2462"/>
      <c r="EU11" s="2462"/>
      <c r="EV11" s="2462"/>
      <c r="EW11" s="2462"/>
      <c r="EX11" s="2462"/>
      <c r="EY11" s="2462"/>
      <c r="EZ11" s="2462"/>
      <c r="FA11" s="2462"/>
      <c r="FB11" s="2462"/>
      <c r="FC11" s="2462"/>
      <c r="FD11" s="2462"/>
      <c r="FE11" s="2462"/>
      <c r="FF11" s="2462"/>
      <c r="FG11" s="2462"/>
      <c r="FH11" s="2462"/>
      <c r="FI11" s="2462"/>
      <c r="FJ11" s="2462"/>
      <c r="FK11" s="2462"/>
      <c r="FL11" s="2462"/>
      <c r="FM11" s="2462"/>
      <c r="FN11" s="2462"/>
      <c r="FO11" s="2462"/>
      <c r="FP11" s="2462"/>
      <c r="FQ11" s="2462"/>
      <c r="FR11" s="2462"/>
      <c r="FS11" s="2462"/>
      <c r="FT11" s="2462"/>
      <c r="FU11" s="2462"/>
      <c r="FV11" s="2462"/>
      <c r="FW11" s="2476"/>
      <c r="FX11" s="771"/>
      <c r="GC11" s="935">
        <v>12</v>
      </c>
    </row>
    <row customHeight="1" ht="12.75">
      <c r="D12" s="947"/>
      <c r="E12" s="946"/>
      <c r="F12" s="2233"/>
      <c r="G12" s="2233"/>
      <c r="H12" s="2465"/>
      <c r="I12" s="2465"/>
      <c r="J12" s="2466"/>
      <c r="K12" s="2466"/>
      <c r="L12" s="2466"/>
      <c r="M12" s="2466"/>
      <c r="N12" s="2466"/>
      <c r="O12" s="2237" t="s">
        <v>1384</v>
      </c>
      <c r="P12" s="2237"/>
      <c r="Q12" s="2237"/>
      <c r="R12" s="2237"/>
      <c r="S12" s="2237" t="s">
        <v>1385</v>
      </c>
      <c r="T12" s="2237"/>
      <c r="U12" s="2237"/>
      <c r="V12" s="2237"/>
      <c r="W12" s="2237"/>
      <c r="X12" s="2237"/>
      <c r="Y12" s="2237"/>
      <c r="Z12" s="2237"/>
      <c r="AA12" s="2237"/>
      <c r="AB12" s="2237"/>
      <c r="AC12" s="2462"/>
      <c r="AD12" s="2462"/>
      <c r="AE12" s="2462"/>
      <c r="AF12" s="2462"/>
      <c r="AG12" s="2462"/>
      <c r="AH12" s="2462"/>
      <c r="AI12" s="2462"/>
      <c r="AJ12" s="2462"/>
      <c r="AK12" s="2462"/>
      <c r="AL12" s="2462"/>
      <c r="AM12" s="2462"/>
      <c r="AN12" s="2462"/>
      <c r="AO12" s="2462"/>
      <c r="AP12" s="2462"/>
      <c r="AQ12" s="2462"/>
      <c r="AR12" s="2462"/>
      <c r="AS12" s="2462"/>
      <c r="AT12" s="2462"/>
      <c r="AU12" s="2462"/>
      <c r="AV12" s="2462"/>
      <c r="AW12" s="2462"/>
      <c r="AX12" s="2462"/>
      <c r="AY12" s="2462"/>
      <c r="AZ12" s="2462"/>
      <c r="BA12" s="2462"/>
      <c r="BB12" s="2462"/>
      <c r="BC12" s="2462"/>
      <c r="BD12" s="2462"/>
      <c r="BE12" s="2462"/>
      <c r="BF12" s="2462"/>
      <c r="BG12" s="2462"/>
      <c r="BH12" s="2462"/>
      <c r="BI12" s="2462"/>
      <c r="BJ12" s="2462"/>
      <c r="BK12" s="2462"/>
      <c r="BL12" s="2462"/>
      <c r="BM12" s="2462"/>
      <c r="BN12" s="2462"/>
      <c r="BO12" s="2462"/>
      <c r="BP12" s="2462"/>
      <c r="BQ12" s="2462"/>
      <c r="BR12" s="2462"/>
      <c r="BS12" s="2481"/>
      <c r="BT12" s="2414" t="s">
        <v>1386</v>
      </c>
      <c r="BU12" s="2415"/>
      <c r="BV12" s="2415"/>
      <c r="BW12" s="2461"/>
      <c r="BX12" s="2414" t="s">
        <v>1387</v>
      </c>
      <c r="BY12" s="2415"/>
      <c r="BZ12" s="2415"/>
      <c r="CA12" s="2461"/>
      <c r="CB12" s="2414" t="s">
        <v>1388</v>
      </c>
      <c r="CC12" s="2461"/>
      <c r="CD12" s="2414" t="s">
        <v>1389</v>
      </c>
      <c r="CE12" s="2415"/>
      <c r="CF12" s="2415"/>
      <c r="CG12" s="2415"/>
      <c r="CH12" s="2415"/>
      <c r="CI12" s="2415"/>
      <c r="CJ12" s="2415"/>
      <c r="CK12" s="2461"/>
      <c r="CL12" s="2464"/>
      <c r="CM12" s="2462"/>
      <c r="CN12" s="2462"/>
      <c r="CO12" s="2462"/>
      <c r="CP12" s="2462"/>
      <c r="CQ12" s="2462"/>
      <c r="CR12" s="2462"/>
      <c r="CS12" s="2462"/>
      <c r="CT12" s="2462"/>
      <c r="CU12" s="2462"/>
      <c r="CV12" s="2462"/>
      <c r="CW12" s="2462"/>
      <c r="CX12" s="2481"/>
      <c r="CY12" s="2414" t="s">
        <v>1390</v>
      </c>
      <c r="CZ12" s="2415"/>
      <c r="DA12" s="2415"/>
      <c r="DB12" s="2415"/>
      <c r="DC12" s="2415"/>
      <c r="DD12" s="2461"/>
      <c r="DE12" s="2414" t="s">
        <v>1391</v>
      </c>
      <c r="DF12" s="2461"/>
      <c r="DG12" s="2414" t="s">
        <v>1389</v>
      </c>
      <c r="DH12" s="2415"/>
      <c r="DI12" s="2415"/>
      <c r="DJ12" s="2461"/>
      <c r="DK12" s="2464"/>
      <c r="DL12" s="2462"/>
      <c r="DM12" s="2462"/>
      <c r="DN12" s="2462"/>
      <c r="DO12" s="2462"/>
      <c r="DP12" s="2462"/>
      <c r="DQ12" s="2462"/>
      <c r="DR12" s="2462"/>
      <c r="DS12" s="2462"/>
      <c r="DT12" s="2462"/>
      <c r="DU12" s="2462"/>
      <c r="DV12" s="2462"/>
      <c r="DW12" s="2462"/>
      <c r="DX12" s="2462"/>
      <c r="DY12" s="2462"/>
      <c r="DZ12" s="2462"/>
      <c r="EA12" s="2462"/>
      <c r="EB12" s="2462"/>
      <c r="EC12" s="2462"/>
      <c r="ED12" s="2462"/>
      <c r="EE12" s="2462"/>
      <c r="EF12" s="2462"/>
      <c r="EG12" s="2462"/>
      <c r="EH12" s="2462"/>
      <c r="EI12" s="2462"/>
      <c r="EJ12" s="2462"/>
      <c r="EK12" s="2462"/>
      <c r="EL12" s="2462"/>
      <c r="EM12" s="2462"/>
      <c r="EN12" s="2462"/>
      <c r="EO12" s="2462"/>
      <c r="EP12" s="2462"/>
      <c r="EQ12" s="2462"/>
      <c r="ER12" s="2462"/>
      <c r="ES12" s="2462"/>
      <c r="ET12" s="2462"/>
      <c r="EU12" s="2462"/>
      <c r="EV12" s="2462"/>
      <c r="EW12" s="2462"/>
      <c r="EX12" s="2462"/>
      <c r="EY12" s="2462"/>
      <c r="EZ12" s="2462"/>
      <c r="FA12" s="2462"/>
      <c r="FB12" s="2462"/>
      <c r="FC12" s="2462"/>
      <c r="FD12" s="2462"/>
      <c r="FE12" s="2462"/>
      <c r="FF12" s="2462"/>
      <c r="FG12" s="2462"/>
      <c r="FH12" s="2462"/>
      <c r="FI12" s="2462"/>
      <c r="FJ12" s="2462"/>
      <c r="FK12" s="2462"/>
      <c r="FL12" s="2462"/>
      <c r="FM12" s="2462"/>
      <c r="FN12" s="2462"/>
      <c r="FO12" s="2462"/>
      <c r="FP12" s="2462"/>
      <c r="FQ12" s="2462"/>
      <c r="FR12" s="2462"/>
      <c r="FS12" s="2462"/>
      <c r="FT12" s="2462"/>
      <c r="FU12" s="2462"/>
      <c r="FV12" s="2462"/>
      <c r="FW12" s="2476"/>
      <c r="FX12" s="771"/>
      <c r="GC12" s="935">
        <v>12</v>
      </c>
    </row>
    <row customHeight="1" ht="37.8">
      <c r="D13" s="947"/>
      <c r="E13" s="946"/>
      <c r="F13" s="2233"/>
      <c r="G13" s="2233"/>
      <c r="H13" s="2465"/>
      <c r="I13" s="2465"/>
      <c r="J13" s="2466"/>
      <c r="K13" s="2466"/>
      <c r="L13" s="2466"/>
      <c r="M13" s="2466"/>
      <c r="N13" s="2466"/>
      <c r="O13" s="2237" t="s">
        <v>1392</v>
      </c>
      <c r="P13" s="2237"/>
      <c r="Q13" s="2237"/>
      <c r="R13" s="2237"/>
      <c r="S13" s="2364" t="s">
        <v>1393</v>
      </c>
      <c r="T13" s="2416"/>
      <c r="U13" s="2155" t="s">
        <v>1394</v>
      </c>
      <c r="V13" s="2155"/>
      <c r="W13" s="2155"/>
      <c r="X13" s="2155"/>
      <c r="Y13" s="2155" t="s">
        <v>1395</v>
      </c>
      <c r="Z13" s="2155"/>
      <c r="AA13" s="2155"/>
      <c r="AB13" s="2155"/>
      <c r="AC13" s="2462"/>
      <c r="AD13" s="2462"/>
      <c r="AE13" s="2462"/>
      <c r="AF13" s="2462"/>
      <c r="AG13" s="2462"/>
      <c r="AH13" s="2462"/>
      <c r="AI13" s="2462"/>
      <c r="AJ13" s="2462"/>
      <c r="AK13" s="2462"/>
      <c r="AL13" s="2462"/>
      <c r="AM13" s="2462"/>
      <c r="AN13" s="2462"/>
      <c r="AO13" s="2462"/>
      <c r="AP13" s="2462"/>
      <c r="AQ13" s="2462"/>
      <c r="AR13" s="2462"/>
      <c r="AS13" s="2462"/>
      <c r="AT13" s="2462"/>
      <c r="AU13" s="2462"/>
      <c r="AV13" s="2462"/>
      <c r="AW13" s="2462"/>
      <c r="AX13" s="2462"/>
      <c r="AY13" s="2462"/>
      <c r="AZ13" s="2462"/>
      <c r="BA13" s="2462"/>
      <c r="BB13" s="2462"/>
      <c r="BC13" s="2462"/>
      <c r="BD13" s="2462"/>
      <c r="BE13" s="2462"/>
      <c r="BF13" s="2462"/>
      <c r="BG13" s="2462"/>
      <c r="BH13" s="2462"/>
      <c r="BI13" s="2462"/>
      <c r="BJ13" s="2462"/>
      <c r="BK13" s="2462"/>
      <c r="BL13" s="2462"/>
      <c r="BM13" s="2462"/>
      <c r="BN13" s="2462"/>
      <c r="BO13" s="2462"/>
      <c r="BP13" s="2462"/>
      <c r="BQ13" s="2462"/>
      <c r="BR13" s="2462"/>
      <c r="BS13" s="2481"/>
      <c r="BT13" s="2364" t="s">
        <v>1396</v>
      </c>
      <c r="BU13" s="2416"/>
      <c r="BV13" s="2364" t="s">
        <v>1397</v>
      </c>
      <c r="BW13" s="2416"/>
      <c r="BX13" s="2364" t="s">
        <v>1398</v>
      </c>
      <c r="BY13" s="2416"/>
      <c r="BZ13" s="2364" t="s">
        <v>1399</v>
      </c>
      <c r="CA13" s="2416"/>
      <c r="CB13" s="2364" t="s">
        <v>1400</v>
      </c>
      <c r="CC13" s="2416"/>
      <c r="CD13" s="2364" t="s">
        <v>1401</v>
      </c>
      <c r="CE13" s="2416"/>
      <c r="CF13" s="2364" t="s">
        <v>1402</v>
      </c>
      <c r="CG13" s="2416"/>
      <c r="CH13" s="2414" t="s">
        <v>1403</v>
      </c>
      <c r="CI13" s="2415"/>
      <c r="CJ13" s="2415"/>
      <c r="CK13" s="2461"/>
      <c r="CL13" s="2464"/>
      <c r="CM13" s="2462"/>
      <c r="CN13" s="2462"/>
      <c r="CO13" s="2462"/>
      <c r="CP13" s="2462"/>
      <c r="CQ13" s="2462"/>
      <c r="CR13" s="2462"/>
      <c r="CS13" s="2462"/>
      <c r="CT13" s="2462"/>
      <c r="CU13" s="2462"/>
      <c r="CV13" s="2462"/>
      <c r="CW13" s="2462"/>
      <c r="CX13" s="2481"/>
      <c r="CY13" s="2364" t="s">
        <v>1404</v>
      </c>
      <c r="CZ13" s="2416"/>
      <c r="DA13" s="2364" t="s">
        <v>1405</v>
      </c>
      <c r="DB13" s="2416"/>
      <c r="DC13" s="2364" t="s">
        <v>1406</v>
      </c>
      <c r="DD13" s="2416"/>
      <c r="DE13" s="2364" t="s">
        <v>1407</v>
      </c>
      <c r="DF13" s="2416"/>
      <c r="DG13" s="2414" t="s">
        <v>1408</v>
      </c>
      <c r="DH13" s="2415"/>
      <c r="DI13" s="2415"/>
      <c r="DJ13" s="2461"/>
      <c r="DK13" s="2464"/>
      <c r="DL13" s="2462"/>
      <c r="DM13" s="2462"/>
      <c r="DN13" s="2462"/>
      <c r="DO13" s="2462"/>
      <c r="DP13" s="2462"/>
      <c r="DQ13" s="2462"/>
      <c r="DR13" s="2462"/>
      <c r="DS13" s="2462"/>
      <c r="DT13" s="2462"/>
      <c r="DU13" s="2462"/>
      <c r="DV13" s="2462"/>
      <c r="DW13" s="2462"/>
      <c r="DX13" s="2462"/>
      <c r="DY13" s="2462"/>
      <c r="DZ13" s="2462"/>
      <c r="EA13" s="2462"/>
      <c r="EB13" s="2462"/>
      <c r="EC13" s="2462"/>
      <c r="ED13" s="2462"/>
      <c r="EE13" s="2462"/>
      <c r="EF13" s="2462"/>
      <c r="EG13" s="2462"/>
      <c r="EH13" s="2462"/>
      <c r="EI13" s="2462"/>
      <c r="EJ13" s="2462"/>
      <c r="EK13" s="2462"/>
      <c r="EL13" s="2462"/>
      <c r="EM13" s="2462"/>
      <c r="EN13" s="2462"/>
      <c r="EO13" s="2462"/>
      <c r="EP13" s="2462"/>
      <c r="EQ13" s="2462"/>
      <c r="ER13" s="2462"/>
      <c r="ES13" s="2462"/>
      <c r="ET13" s="2462"/>
      <c r="EU13" s="2462"/>
      <c r="EV13" s="2462"/>
      <c r="EW13" s="2462"/>
      <c r="EX13" s="2462"/>
      <c r="EY13" s="2462"/>
      <c r="EZ13" s="2462"/>
      <c r="FA13" s="2462"/>
      <c r="FB13" s="2462"/>
      <c r="FC13" s="2462"/>
      <c r="FD13" s="2462"/>
      <c r="FE13" s="2462"/>
      <c r="FF13" s="2462"/>
      <c r="FG13" s="2462"/>
      <c r="FH13" s="2462"/>
      <c r="FI13" s="2462"/>
      <c r="FJ13" s="2462"/>
      <c r="FK13" s="2462"/>
      <c r="FL13" s="2462"/>
      <c r="FM13" s="2462"/>
      <c r="FN13" s="2462"/>
      <c r="FO13" s="2462"/>
      <c r="FP13" s="2462"/>
      <c r="FQ13" s="2462"/>
      <c r="FR13" s="2462"/>
      <c r="FS13" s="2462"/>
      <c r="FT13" s="2462"/>
      <c r="FU13" s="2462"/>
      <c r="FV13" s="2462"/>
      <c r="FW13" s="2476"/>
      <c r="FX13" s="771"/>
      <c r="GC13" s="935">
        <v>36</v>
      </c>
    </row>
    <row customHeight="1" ht="37.8">
      <c r="D14" s="947"/>
      <c r="E14" s="946"/>
      <c r="F14" s="2233"/>
      <c r="G14" s="2233"/>
      <c r="H14" s="2465"/>
      <c r="I14" s="2465"/>
      <c r="J14" s="2466"/>
      <c r="K14" s="2466"/>
      <c r="L14" s="2466"/>
      <c r="M14" s="2466"/>
      <c r="N14" s="2466"/>
      <c r="O14" s="2364" t="s">
        <v>1409</v>
      </c>
      <c r="P14" s="2416"/>
      <c r="Q14" s="2364" t="s">
        <v>1410</v>
      </c>
      <c r="R14" s="2416"/>
      <c r="S14" s="2365"/>
      <c r="T14" s="2241"/>
      <c r="U14" s="2364" t="s">
        <v>879</v>
      </c>
      <c r="V14" s="2416"/>
      <c r="W14" s="2364" t="s">
        <v>882</v>
      </c>
      <c r="X14" s="2416"/>
      <c r="Y14" s="2364" t="s">
        <v>879</v>
      </c>
      <c r="Z14" s="2416"/>
      <c r="AA14" s="2364" t="s">
        <v>889</v>
      </c>
      <c r="AB14" s="2416"/>
      <c r="AC14" s="2462"/>
      <c r="AD14" s="2462"/>
      <c r="AE14" s="2462"/>
      <c r="AF14" s="2462"/>
      <c r="AG14" s="2462"/>
      <c r="AH14" s="2462"/>
      <c r="AI14" s="2462"/>
      <c r="AJ14" s="2462"/>
      <c r="AK14" s="2462"/>
      <c r="AL14" s="2462"/>
      <c r="AM14" s="2462"/>
      <c r="AN14" s="2462"/>
      <c r="AO14" s="2462"/>
      <c r="AP14" s="2462"/>
      <c r="AQ14" s="2462"/>
      <c r="AR14" s="2462"/>
      <c r="AS14" s="2462"/>
      <c r="AT14" s="2462"/>
      <c r="AU14" s="2462"/>
      <c r="AV14" s="2462"/>
      <c r="AW14" s="2462"/>
      <c r="AX14" s="2462"/>
      <c r="AY14" s="2462"/>
      <c r="AZ14" s="2462"/>
      <c r="BA14" s="2462"/>
      <c r="BB14" s="2462"/>
      <c r="BC14" s="2462"/>
      <c r="BD14" s="2462"/>
      <c r="BE14" s="2462"/>
      <c r="BF14" s="2462"/>
      <c r="BG14" s="2462"/>
      <c r="BH14" s="2462"/>
      <c r="BI14" s="2462"/>
      <c r="BJ14" s="2462"/>
      <c r="BK14" s="2462"/>
      <c r="BL14" s="2462"/>
      <c r="BM14" s="2462"/>
      <c r="BN14" s="2462"/>
      <c r="BO14" s="2462"/>
      <c r="BP14" s="2462"/>
      <c r="BQ14" s="2462"/>
      <c r="BR14" s="2462"/>
      <c r="BS14" s="2481"/>
      <c r="BT14" s="2365"/>
      <c r="BU14" s="2241"/>
      <c r="BV14" s="2365"/>
      <c r="BW14" s="2241"/>
      <c r="BX14" s="2365"/>
      <c r="BY14" s="2241"/>
      <c r="BZ14" s="2365"/>
      <c r="CA14" s="2241"/>
      <c r="CB14" s="2365"/>
      <c r="CC14" s="2241"/>
      <c r="CD14" s="2365"/>
      <c r="CE14" s="2241"/>
      <c r="CF14" s="2365"/>
      <c r="CG14" s="2241"/>
      <c r="CH14" s="2364" t="s">
        <v>1411</v>
      </c>
      <c r="CI14" s="2416"/>
      <c r="CJ14" s="2364" t="s">
        <v>1412</v>
      </c>
      <c r="CK14" s="2416"/>
      <c r="CL14" s="2464"/>
      <c r="CM14" s="2462"/>
      <c r="CN14" s="2462"/>
      <c r="CO14" s="2462"/>
      <c r="CP14" s="2462"/>
      <c r="CQ14" s="2462"/>
      <c r="CR14" s="2462"/>
      <c r="CS14" s="2462"/>
      <c r="CT14" s="2462"/>
      <c r="CU14" s="2462"/>
      <c r="CV14" s="2462"/>
      <c r="CW14" s="2462"/>
      <c r="CX14" s="2481"/>
      <c r="CY14" s="2365"/>
      <c r="CZ14" s="2241"/>
      <c r="DA14" s="2365"/>
      <c r="DB14" s="2241"/>
      <c r="DC14" s="2365"/>
      <c r="DD14" s="2241"/>
      <c r="DE14" s="2365"/>
      <c r="DF14" s="2241"/>
      <c r="DG14" s="2364" t="s">
        <v>1413</v>
      </c>
      <c r="DH14" s="2416"/>
      <c r="DI14" s="2364" t="s">
        <v>1414</v>
      </c>
      <c r="DJ14" s="2416"/>
      <c r="DK14" s="2464"/>
      <c r="DL14" s="2462"/>
      <c r="DM14" s="2462"/>
      <c r="DN14" s="2462"/>
      <c r="DO14" s="2462"/>
      <c r="DP14" s="2462"/>
      <c r="DQ14" s="2462"/>
      <c r="DR14" s="2462"/>
      <c r="DS14" s="2462"/>
      <c r="DT14" s="2462"/>
      <c r="DU14" s="2462"/>
      <c r="DV14" s="2462"/>
      <c r="DW14" s="2462"/>
      <c r="DX14" s="2462"/>
      <c r="DY14" s="2462"/>
      <c r="DZ14" s="2462"/>
      <c r="EA14" s="2462"/>
      <c r="EB14" s="2462"/>
      <c r="EC14" s="2462"/>
      <c r="ED14" s="2462"/>
      <c r="EE14" s="2462"/>
      <c r="EF14" s="2462"/>
      <c r="EG14" s="2462"/>
      <c r="EH14" s="2462"/>
      <c r="EI14" s="2462"/>
      <c r="EJ14" s="2462"/>
      <c r="EK14" s="2462"/>
      <c r="EL14" s="2462"/>
      <c r="EM14" s="2462"/>
      <c r="EN14" s="2462"/>
      <c r="EO14" s="2462"/>
      <c r="EP14" s="2462"/>
      <c r="EQ14" s="2462"/>
      <c r="ER14" s="2462"/>
      <c r="ES14" s="2462"/>
      <c r="ET14" s="2462"/>
      <c r="EU14" s="2462"/>
      <c r="EV14" s="2462"/>
      <c r="EW14" s="2462"/>
      <c r="EX14" s="2462"/>
      <c r="EY14" s="2462"/>
      <c r="EZ14" s="2462"/>
      <c r="FA14" s="2462"/>
      <c r="FB14" s="2462"/>
      <c r="FC14" s="2462"/>
      <c r="FD14" s="2462"/>
      <c r="FE14" s="2462"/>
      <c r="FF14" s="2462"/>
      <c r="FG14" s="2462"/>
      <c r="FH14" s="2462"/>
      <c r="FI14" s="2462"/>
      <c r="FJ14" s="2462"/>
      <c r="FK14" s="2462"/>
      <c r="FL14" s="2462"/>
      <c r="FM14" s="2462"/>
      <c r="FN14" s="2462"/>
      <c r="FO14" s="2462"/>
      <c r="FP14" s="2462"/>
      <c r="FQ14" s="2462"/>
      <c r="FR14" s="2462"/>
      <c r="FS14" s="2462"/>
      <c r="FT14" s="2462"/>
      <c r="FU14" s="2462"/>
      <c r="FV14" s="2462"/>
      <c r="FW14" s="2476"/>
      <c r="FX14" s="771"/>
      <c r="GC14" s="935">
        <v>36</v>
      </c>
    </row>
    <row customHeight="1" ht="37.8">
      <c r="D15" s="947"/>
      <c r="E15" s="946"/>
      <c r="F15" s="2233"/>
      <c r="G15" s="2233"/>
      <c r="H15" s="2465"/>
      <c r="I15" s="2465"/>
      <c r="J15" s="2466"/>
      <c r="K15" s="2466"/>
      <c r="L15" s="2466"/>
      <c r="M15" s="2466"/>
      <c r="N15" s="2466"/>
      <c r="O15" s="2366"/>
      <c r="P15" s="2463"/>
      <c r="Q15" s="2366"/>
      <c r="R15" s="2463"/>
      <c r="S15" s="2366"/>
      <c r="T15" s="2463"/>
      <c r="U15" s="2366"/>
      <c r="V15" s="2463"/>
      <c r="W15" s="2366"/>
      <c r="X15" s="2463"/>
      <c r="Y15" s="2366"/>
      <c r="Z15" s="2463"/>
      <c r="AA15" s="2366"/>
      <c r="AB15" s="2463"/>
      <c r="AC15" s="2462"/>
      <c r="AD15" s="2462"/>
      <c r="AE15" s="2462"/>
      <c r="AF15" s="2462"/>
      <c r="AG15" s="2462"/>
      <c r="AH15" s="2462"/>
      <c r="AI15" s="2462"/>
      <c r="AJ15" s="2462"/>
      <c r="AK15" s="2462"/>
      <c r="AL15" s="2462"/>
      <c r="AM15" s="2462"/>
      <c r="AN15" s="2462"/>
      <c r="AO15" s="2462"/>
      <c r="AP15" s="2462"/>
      <c r="AQ15" s="2462"/>
      <c r="AR15" s="2462"/>
      <c r="AS15" s="2462"/>
      <c r="AT15" s="2462"/>
      <c r="AU15" s="2462"/>
      <c r="AV15" s="2462"/>
      <c r="AW15" s="2462"/>
      <c r="AX15" s="2462"/>
      <c r="AY15" s="2462"/>
      <c r="AZ15" s="2462"/>
      <c r="BA15" s="2462"/>
      <c r="BB15" s="2462"/>
      <c r="BC15" s="2462"/>
      <c r="BD15" s="2462"/>
      <c r="BE15" s="2462"/>
      <c r="BF15" s="2462"/>
      <c r="BG15" s="2462"/>
      <c r="BH15" s="2462"/>
      <c r="BI15" s="2462"/>
      <c r="BJ15" s="2462"/>
      <c r="BK15" s="2462"/>
      <c r="BL15" s="2462"/>
      <c r="BM15" s="2462"/>
      <c r="BN15" s="2462"/>
      <c r="BO15" s="2462"/>
      <c r="BP15" s="2462"/>
      <c r="BQ15" s="2462"/>
      <c r="BR15" s="2462"/>
      <c r="BS15" s="2481"/>
      <c r="BT15" s="2366"/>
      <c r="BU15" s="2463"/>
      <c r="BV15" s="2366"/>
      <c r="BW15" s="2463"/>
      <c r="BX15" s="2366"/>
      <c r="BY15" s="2463"/>
      <c r="BZ15" s="2366"/>
      <c r="CA15" s="2463"/>
      <c r="CB15" s="2366"/>
      <c r="CC15" s="2463"/>
      <c r="CD15" s="2366"/>
      <c r="CE15" s="2463"/>
      <c r="CF15" s="2366"/>
      <c r="CG15" s="2463"/>
      <c r="CH15" s="2366"/>
      <c r="CI15" s="2463"/>
      <c r="CJ15" s="2366"/>
      <c r="CK15" s="2463"/>
      <c r="CL15" s="2464"/>
      <c r="CM15" s="2462"/>
      <c r="CN15" s="2462"/>
      <c r="CO15" s="2462"/>
      <c r="CP15" s="2462"/>
      <c r="CQ15" s="2462"/>
      <c r="CR15" s="2462"/>
      <c r="CS15" s="2462"/>
      <c r="CT15" s="2462"/>
      <c r="CU15" s="2462"/>
      <c r="CV15" s="2462"/>
      <c r="CW15" s="2462"/>
      <c r="CX15" s="2481"/>
      <c r="CY15" s="2366"/>
      <c r="CZ15" s="2463"/>
      <c r="DA15" s="2366"/>
      <c r="DB15" s="2463"/>
      <c r="DC15" s="2366"/>
      <c r="DD15" s="2463"/>
      <c r="DE15" s="2366"/>
      <c r="DF15" s="2463"/>
      <c r="DG15" s="2366"/>
      <c r="DH15" s="2463"/>
      <c r="DI15" s="2366"/>
      <c r="DJ15" s="2463"/>
      <c r="DK15" s="2464"/>
      <c r="DL15" s="2462"/>
      <c r="DM15" s="2462"/>
      <c r="DN15" s="2462"/>
      <c r="DO15" s="2462"/>
      <c r="DP15" s="2462"/>
      <c r="DQ15" s="2462"/>
      <c r="DR15" s="2462"/>
      <c r="DS15" s="2462"/>
      <c r="DT15" s="2462"/>
      <c r="DU15" s="2462"/>
      <c r="DV15" s="2462"/>
      <c r="DW15" s="2462"/>
      <c r="DX15" s="2462"/>
      <c r="DY15" s="2462"/>
      <c r="DZ15" s="2462"/>
      <c r="EA15" s="2462"/>
      <c r="EB15" s="2462"/>
      <c r="EC15" s="2462"/>
      <c r="ED15" s="2462"/>
      <c r="EE15" s="2462"/>
      <c r="EF15" s="2462"/>
      <c r="EG15" s="2462"/>
      <c r="EH15" s="2462"/>
      <c r="EI15" s="2462"/>
      <c r="EJ15" s="2462"/>
      <c r="EK15" s="2462"/>
      <c r="EL15" s="2462"/>
      <c r="EM15" s="2462"/>
      <c r="EN15" s="2462"/>
      <c r="EO15" s="2462"/>
      <c r="EP15" s="2462"/>
      <c r="EQ15" s="2462"/>
      <c r="ER15" s="2462"/>
      <c r="ES15" s="2462"/>
      <c r="ET15" s="2462"/>
      <c r="EU15" s="2462"/>
      <c r="EV15" s="2462"/>
      <c r="EW15" s="2462"/>
      <c r="EX15" s="2462"/>
      <c r="EY15" s="2462"/>
      <c r="EZ15" s="2462"/>
      <c r="FA15" s="2462"/>
      <c r="FB15" s="2462"/>
      <c r="FC15" s="2462"/>
      <c r="FD15" s="2462"/>
      <c r="FE15" s="2462"/>
      <c r="FF15" s="2462"/>
      <c r="FG15" s="2462"/>
      <c r="FH15" s="2462"/>
      <c r="FI15" s="2462"/>
      <c r="FJ15" s="2462"/>
      <c r="FK15" s="2462"/>
      <c r="FL15" s="2462"/>
      <c r="FM15" s="2462"/>
      <c r="FN15" s="2462"/>
      <c r="FO15" s="2462"/>
      <c r="FP15" s="2462"/>
      <c r="FQ15" s="2462"/>
      <c r="FR15" s="2462"/>
      <c r="FS15" s="2462"/>
      <c r="FT15" s="2462"/>
      <c r="FU15" s="2462"/>
      <c r="FV15" s="2462"/>
      <c r="FW15" s="2476"/>
      <c r="FX15" s="771"/>
      <c r="GC15" s="935">
        <v>36</v>
      </c>
    </row>
    <row customHeight="1" ht="12.75">
      <c r="D16" s="947"/>
      <c r="E16" s="946"/>
      <c r="F16" s="2233"/>
      <c r="G16" s="2233"/>
      <c r="H16" s="2465"/>
      <c r="I16" s="2465"/>
      <c r="J16" s="2466"/>
      <c r="K16" s="2466"/>
      <c r="L16" s="2466"/>
      <c r="M16" s="2466"/>
      <c r="N16" s="2466"/>
      <c r="O16" s="2414" t="s">
        <v>869</v>
      </c>
      <c r="P16" s="2461"/>
      <c r="Q16" s="2414" t="s">
        <v>871</v>
      </c>
      <c r="R16" s="2461"/>
      <c r="S16" s="2414" t="s">
        <v>875</v>
      </c>
      <c r="T16" s="2461"/>
      <c r="U16" s="2414" t="s">
        <v>880</v>
      </c>
      <c r="V16" s="2461"/>
      <c r="W16" s="2414" t="s">
        <v>883</v>
      </c>
      <c r="X16" s="2461"/>
      <c r="Y16" s="2414" t="s">
        <v>887</v>
      </c>
      <c r="Z16" s="2461"/>
      <c r="AA16" s="2414" t="s">
        <v>890</v>
      </c>
      <c r="AB16" s="2461"/>
      <c r="AC16" s="2462"/>
      <c r="AD16" s="2462"/>
      <c r="AE16" s="2462"/>
      <c r="AF16" s="2462"/>
      <c r="AG16" s="2462"/>
      <c r="AH16" s="2462"/>
      <c r="AI16" s="2462"/>
      <c r="AJ16" s="2462"/>
      <c r="AK16" s="2462"/>
      <c r="AL16" s="2462"/>
      <c r="AM16" s="2462"/>
      <c r="AN16" s="2462"/>
      <c r="AO16" s="2462"/>
      <c r="AP16" s="2462"/>
      <c r="AQ16" s="2462"/>
      <c r="AR16" s="2462"/>
      <c r="AS16" s="2462"/>
      <c r="AT16" s="2462"/>
      <c r="AU16" s="2462"/>
      <c r="AV16" s="2462"/>
      <c r="AW16" s="2462"/>
      <c r="AX16" s="2462"/>
      <c r="AY16" s="2462"/>
      <c r="AZ16" s="2462"/>
      <c r="BA16" s="2462"/>
      <c r="BB16" s="2462"/>
      <c r="BC16" s="2462"/>
      <c r="BD16" s="2462"/>
      <c r="BE16" s="2462"/>
      <c r="BF16" s="2462"/>
      <c r="BG16" s="2462"/>
      <c r="BH16" s="2462"/>
      <c r="BI16" s="2462"/>
      <c r="BJ16" s="2462"/>
      <c r="BK16" s="2462"/>
      <c r="BL16" s="2462"/>
      <c r="BM16" s="2462"/>
      <c r="BN16" s="2462"/>
      <c r="BO16" s="2462"/>
      <c r="BP16" s="2462"/>
      <c r="BQ16" s="2462"/>
      <c r="BR16" s="2462"/>
      <c r="BS16" s="2481"/>
      <c r="BT16" s="2414" t="s">
        <v>571</v>
      </c>
      <c r="BU16" s="2461"/>
      <c r="BV16" s="2414" t="s">
        <v>571</v>
      </c>
      <c r="BW16" s="2461"/>
      <c r="BX16" s="2414" t="s">
        <v>571</v>
      </c>
      <c r="BY16" s="2461"/>
      <c r="BZ16" s="2414" t="s">
        <v>571</v>
      </c>
      <c r="CA16" s="2461"/>
      <c r="CB16" s="2414" t="s">
        <v>1415</v>
      </c>
      <c r="CC16" s="2461"/>
      <c r="CD16" s="2414" t="s">
        <v>571</v>
      </c>
      <c r="CE16" s="2461"/>
      <c r="CF16" s="2414" t="s">
        <v>1416</v>
      </c>
      <c r="CG16" s="2461"/>
      <c r="CH16" s="2414" t="s">
        <v>1417</v>
      </c>
      <c r="CI16" s="2461"/>
      <c r="CJ16" s="2414" t="s">
        <v>1417</v>
      </c>
      <c r="CK16" s="2461"/>
      <c r="CL16" s="2464"/>
      <c r="CM16" s="2462"/>
      <c r="CN16" s="2462"/>
      <c r="CO16" s="2462"/>
      <c r="CP16" s="2462"/>
      <c r="CQ16" s="2462"/>
      <c r="CR16" s="2462"/>
      <c r="CS16" s="2462"/>
      <c r="CT16" s="2462"/>
      <c r="CU16" s="2462"/>
      <c r="CV16" s="2462"/>
      <c r="CW16" s="2462"/>
      <c r="CX16" s="2481"/>
      <c r="CY16" s="2364" t="s">
        <v>571</v>
      </c>
      <c r="CZ16" s="2416"/>
      <c r="DA16" s="2364" t="s">
        <v>571</v>
      </c>
      <c r="DB16" s="2416"/>
      <c r="DC16" s="2364" t="s">
        <v>571</v>
      </c>
      <c r="DD16" s="2416"/>
      <c r="DE16" s="2414" t="s">
        <v>1415</v>
      </c>
      <c r="DF16" s="2461"/>
      <c r="DG16" s="2414" t="s">
        <v>1418</v>
      </c>
      <c r="DH16" s="2461"/>
      <c r="DI16" s="2414" t="s">
        <v>1418</v>
      </c>
      <c r="DJ16" s="2461"/>
      <c r="DK16" s="2464"/>
      <c r="DL16" s="2462"/>
      <c r="DM16" s="2462"/>
      <c r="DN16" s="2462"/>
      <c r="DO16" s="2462"/>
      <c r="DP16" s="2462"/>
      <c r="DQ16" s="2462"/>
      <c r="DR16" s="2462"/>
      <c r="DS16" s="2462"/>
      <c r="DT16" s="2462"/>
      <c r="DU16" s="2462"/>
      <c r="DV16" s="2462"/>
      <c r="DW16" s="2462"/>
      <c r="DX16" s="2462"/>
      <c r="DY16" s="2462"/>
      <c r="DZ16" s="2462"/>
      <c r="EA16" s="2462"/>
      <c r="EB16" s="2462"/>
      <c r="EC16" s="2462"/>
      <c r="ED16" s="2462"/>
      <c r="EE16" s="2462"/>
      <c r="EF16" s="2462"/>
      <c r="EG16" s="2462"/>
      <c r="EH16" s="2462"/>
      <c r="EI16" s="2462"/>
      <c r="EJ16" s="2462"/>
      <c r="EK16" s="2462"/>
      <c r="EL16" s="2462"/>
      <c r="EM16" s="2462"/>
      <c r="EN16" s="2462"/>
      <c r="EO16" s="2462"/>
      <c r="EP16" s="2462"/>
      <c r="EQ16" s="2462"/>
      <c r="ER16" s="2462"/>
      <c r="ES16" s="2462"/>
      <c r="ET16" s="2462"/>
      <c r="EU16" s="2462"/>
      <c r="EV16" s="2462"/>
      <c r="EW16" s="2462"/>
      <c r="EX16" s="2462"/>
      <c r="EY16" s="2462"/>
      <c r="EZ16" s="2462"/>
      <c r="FA16" s="2462"/>
      <c r="FB16" s="2462"/>
      <c r="FC16" s="2462"/>
      <c r="FD16" s="2462"/>
      <c r="FE16" s="2462"/>
      <c r="FF16" s="2462"/>
      <c r="FG16" s="2462"/>
      <c r="FH16" s="2462"/>
      <c r="FI16" s="2462"/>
      <c r="FJ16" s="2462"/>
      <c r="FK16" s="2462"/>
      <c r="FL16" s="2462"/>
      <c r="FM16" s="2462"/>
      <c r="FN16" s="2462"/>
      <c r="FO16" s="2462"/>
      <c r="FP16" s="2462"/>
      <c r="FQ16" s="2462"/>
      <c r="FR16" s="2462"/>
      <c r="FS16" s="2462"/>
      <c r="FT16" s="2462"/>
      <c r="FU16" s="2462"/>
      <c r="FV16" s="2462"/>
      <c r="FW16" s="2476"/>
      <c r="FX16" s="771"/>
      <c r="GC16" s="935">
        <v>12</v>
      </c>
    </row>
    <row customHeight="1" ht="15.75">
      <c r="E17" s="946"/>
      <c r="F17" s="2233"/>
      <c r="G17" s="2233"/>
      <c r="H17" s="2465"/>
      <c r="I17" s="2465"/>
      <c r="J17" s="2466"/>
      <c r="K17" s="2466"/>
      <c r="L17" s="2466"/>
      <c r="M17" s="2466"/>
      <c r="N17" s="2466"/>
      <c r="O17" s="1200" t="s">
        <v>1419</v>
      </c>
      <c r="P17" s="1200" t="s">
        <v>1420</v>
      </c>
      <c r="Q17" s="1200" t="s">
        <v>1419</v>
      </c>
      <c r="R17" s="1200" t="s">
        <v>1420</v>
      </c>
      <c r="S17" s="1200" t="s">
        <v>1419</v>
      </c>
      <c r="T17" s="1200" t="s">
        <v>1420</v>
      </c>
      <c r="U17" s="1200" t="s">
        <v>1419</v>
      </c>
      <c r="V17" s="1200" t="s">
        <v>1420</v>
      </c>
      <c r="W17" s="1200" t="s">
        <v>1419</v>
      </c>
      <c r="X17" s="1200" t="s">
        <v>1420</v>
      </c>
      <c r="Y17" s="1200" t="s">
        <v>1419</v>
      </c>
      <c r="Z17" s="1200" t="s">
        <v>1420</v>
      </c>
      <c r="AA17" s="1200" t="s">
        <v>1419</v>
      </c>
      <c r="AB17" s="1200" t="s">
        <v>1420</v>
      </c>
      <c r="AC17" s="2462"/>
      <c r="AD17" s="2462"/>
      <c r="AE17" s="2462"/>
      <c r="AF17" s="2462"/>
      <c r="AG17" s="2462"/>
      <c r="AH17" s="2462"/>
      <c r="AI17" s="2462"/>
      <c r="AJ17" s="2462"/>
      <c r="AK17" s="2462"/>
      <c r="AL17" s="2462"/>
      <c r="AM17" s="2462"/>
      <c r="AN17" s="2462"/>
      <c r="AO17" s="2462"/>
      <c r="AP17" s="2462"/>
      <c r="AQ17" s="2462"/>
      <c r="AR17" s="2462"/>
      <c r="AS17" s="2462"/>
      <c r="AT17" s="2462"/>
      <c r="AU17" s="2462"/>
      <c r="AV17" s="2462"/>
      <c r="AW17" s="2462"/>
      <c r="AX17" s="2462"/>
      <c r="AY17" s="2462"/>
      <c r="AZ17" s="2462"/>
      <c r="BA17" s="2462"/>
      <c r="BB17" s="2462"/>
      <c r="BC17" s="2462"/>
      <c r="BD17" s="2462"/>
      <c r="BE17" s="2462"/>
      <c r="BF17" s="2462"/>
      <c r="BG17" s="2462"/>
      <c r="BH17" s="2462"/>
      <c r="BI17" s="2462"/>
      <c r="BJ17" s="2462"/>
      <c r="BK17" s="2462"/>
      <c r="BL17" s="2462"/>
      <c r="BM17" s="2462"/>
      <c r="BN17" s="2462"/>
      <c r="BO17" s="2462"/>
      <c r="BP17" s="2462"/>
      <c r="BQ17" s="2462"/>
      <c r="BR17" s="2462"/>
      <c r="BS17" s="2481"/>
      <c r="BT17" s="1200" t="s">
        <v>1419</v>
      </c>
      <c r="BU17" s="1200" t="s">
        <v>1420</v>
      </c>
      <c r="BV17" s="1200" t="s">
        <v>1419</v>
      </c>
      <c r="BW17" s="1200" t="s">
        <v>1420</v>
      </c>
      <c r="BX17" s="1200" t="s">
        <v>1419</v>
      </c>
      <c r="BY17" s="1200" t="s">
        <v>1420</v>
      </c>
      <c r="BZ17" s="1200" t="s">
        <v>1419</v>
      </c>
      <c r="CA17" s="1200" t="s">
        <v>1420</v>
      </c>
      <c r="CB17" s="1200" t="s">
        <v>1419</v>
      </c>
      <c r="CC17" s="1200" t="s">
        <v>1420</v>
      </c>
      <c r="CD17" s="1200" t="s">
        <v>1419</v>
      </c>
      <c r="CE17" s="1200" t="s">
        <v>1420</v>
      </c>
      <c r="CF17" s="1200" t="s">
        <v>1419</v>
      </c>
      <c r="CG17" s="1200" t="s">
        <v>1420</v>
      </c>
      <c r="CH17" s="1200" t="s">
        <v>1419</v>
      </c>
      <c r="CI17" s="1200" t="s">
        <v>1420</v>
      </c>
      <c r="CJ17" s="1200" t="s">
        <v>1419</v>
      </c>
      <c r="CK17" s="1200" t="s">
        <v>1420</v>
      </c>
      <c r="CL17" s="2464"/>
      <c r="CM17" s="2462"/>
      <c r="CN17" s="2462"/>
      <c r="CO17" s="2462"/>
      <c r="CP17" s="2462"/>
      <c r="CQ17" s="2462"/>
      <c r="CR17" s="2462"/>
      <c r="CS17" s="2462"/>
      <c r="CT17" s="2462"/>
      <c r="CU17" s="2462"/>
      <c r="CV17" s="2462"/>
      <c r="CW17" s="2462"/>
      <c r="CX17" s="2481"/>
      <c r="CY17" s="1200" t="s">
        <v>1419</v>
      </c>
      <c r="CZ17" s="1200" t="s">
        <v>1420</v>
      </c>
      <c r="DA17" s="1200" t="s">
        <v>1419</v>
      </c>
      <c r="DB17" s="1200" t="s">
        <v>1420</v>
      </c>
      <c r="DC17" s="1200" t="s">
        <v>1419</v>
      </c>
      <c r="DD17" s="1200" t="s">
        <v>1420</v>
      </c>
      <c r="DE17" s="1200" t="s">
        <v>1419</v>
      </c>
      <c r="DF17" s="1200" t="s">
        <v>1420</v>
      </c>
      <c r="DG17" s="1200" t="s">
        <v>1419</v>
      </c>
      <c r="DH17" s="1200" t="s">
        <v>1420</v>
      </c>
      <c r="DI17" s="1200" t="s">
        <v>1419</v>
      </c>
      <c r="DJ17" s="1200" t="s">
        <v>1420</v>
      </c>
      <c r="DK17" s="2464"/>
      <c r="DL17" s="2462"/>
      <c r="DM17" s="2462"/>
      <c r="DN17" s="2462"/>
      <c r="DO17" s="2462"/>
      <c r="DP17" s="2462"/>
      <c r="DQ17" s="2462"/>
      <c r="DR17" s="2462"/>
      <c r="DS17" s="2462"/>
      <c r="DT17" s="2462"/>
      <c r="DU17" s="2462"/>
      <c r="DV17" s="2462"/>
      <c r="DW17" s="2462"/>
      <c r="DX17" s="2462"/>
      <c r="DY17" s="2462"/>
      <c r="DZ17" s="2462"/>
      <c r="EA17" s="2462"/>
      <c r="EB17" s="2462"/>
      <c r="EC17" s="2462"/>
      <c r="ED17" s="2462"/>
      <c r="EE17" s="2462"/>
      <c r="EF17" s="2462"/>
      <c r="EG17" s="2462"/>
      <c r="EH17" s="2462"/>
      <c r="EI17" s="2462"/>
      <c r="EJ17" s="2462"/>
      <c r="EK17" s="2462"/>
      <c r="EL17" s="2462"/>
      <c r="EM17" s="2462"/>
      <c r="EN17" s="2462"/>
      <c r="EO17" s="2462"/>
      <c r="EP17" s="2462"/>
      <c r="EQ17" s="2462"/>
      <c r="ER17" s="2462"/>
      <c r="ES17" s="2462"/>
      <c r="ET17" s="2462"/>
      <c r="EU17" s="2462"/>
      <c r="EV17" s="2462"/>
      <c r="EW17" s="2462"/>
      <c r="EX17" s="2462"/>
      <c r="EY17" s="2462"/>
      <c r="EZ17" s="2462"/>
      <c r="FA17" s="2462"/>
      <c r="FB17" s="2462"/>
      <c r="FC17" s="2462"/>
      <c r="FD17" s="2462"/>
      <c r="FE17" s="2462"/>
      <c r="FF17" s="2462"/>
      <c r="FG17" s="2462"/>
      <c r="FH17" s="2462"/>
      <c r="FI17" s="2462"/>
      <c r="FJ17" s="2462"/>
      <c r="FK17" s="2462"/>
      <c r="FL17" s="2462"/>
      <c r="FM17" s="2462"/>
      <c r="FN17" s="2462"/>
      <c r="FO17" s="2462"/>
      <c r="FP17" s="2462"/>
      <c r="FQ17" s="2462"/>
      <c r="FR17" s="2462"/>
      <c r="FS17" s="2462"/>
      <c r="FT17" s="2462"/>
      <c r="FU17" s="2462"/>
      <c r="FV17" s="2462"/>
      <c r="FW17" s="2477"/>
      <c r="FX17" s="771"/>
      <c r="GC17" s="935">
        <v>15</v>
      </c>
    </row>
    <row s="934" customFormat="1" customHeight="1" ht="12" hidden="1">
      <c r="B18" s="932"/>
      <c r="E18" s="948"/>
      <c r="F18" s="1201"/>
      <c r="G18" s="1201"/>
      <c r="H18" s="1201"/>
      <c r="I18" s="1201"/>
      <c r="J18" s="1202"/>
      <c r="K18" s="1202"/>
      <c r="L18" s="1202"/>
      <c r="M18" s="1202"/>
      <c r="N18" s="1202"/>
      <c r="O18" s="1201"/>
      <c r="P18" s="1201"/>
      <c r="Q18" s="1201"/>
      <c r="R18" s="1201"/>
      <c r="S18" s="1201"/>
      <c r="T18" s="1201"/>
      <c r="U18" s="1203"/>
      <c r="V18" s="1203"/>
      <c r="W18" s="1203"/>
      <c r="X18" s="1203"/>
      <c r="Y18" s="1203"/>
      <c r="Z18" s="1203"/>
      <c r="AA18" s="1203"/>
      <c r="AB18" s="1201"/>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202"/>
      <c r="BT18" s="1204"/>
      <c r="BU18" s="1204"/>
      <c r="BV18" s="1204"/>
      <c r="BW18" s="1204"/>
      <c r="BX18" s="1204"/>
      <c r="BY18" s="1204"/>
      <c r="BZ18" s="1204"/>
      <c r="CA18" s="1204"/>
      <c r="CB18" s="1204"/>
      <c r="CC18" s="1204"/>
      <c r="CD18" s="1204"/>
      <c r="CE18" s="1204"/>
      <c r="CF18" s="1204"/>
      <c r="CG18" s="1204"/>
      <c r="CH18" s="1204"/>
      <c r="CI18" s="1204"/>
      <c r="CJ18" s="1204"/>
      <c r="CK18" s="1204"/>
      <c r="CL18" s="1202"/>
      <c r="CM18" s="1202"/>
      <c r="CN18" s="1202"/>
      <c r="CO18" s="1202"/>
      <c r="CP18" s="1202"/>
      <c r="CQ18" s="1202"/>
      <c r="CR18" s="1202"/>
      <c r="CS18" s="1202"/>
      <c r="CT18" s="1202"/>
      <c r="CU18" s="1202"/>
      <c r="CV18" s="1202"/>
      <c r="CW18" s="1202"/>
      <c r="CX18" s="1202"/>
      <c r="CY18" s="1204"/>
      <c r="CZ18" s="1204"/>
      <c r="DA18" s="1204"/>
      <c r="DB18" s="1204"/>
      <c r="DC18" s="1204"/>
      <c r="DD18" s="1204"/>
      <c r="DE18" s="1204"/>
      <c r="DF18" s="1204"/>
      <c r="DG18" s="1204"/>
      <c r="DH18" s="1204"/>
      <c r="DI18" s="1204"/>
      <c r="DJ18" s="1204"/>
      <c r="DK18" s="1202"/>
      <c r="DL18" s="1202"/>
      <c r="DM18" s="1202"/>
      <c r="DN18" s="1202"/>
      <c r="DO18" s="1202"/>
      <c r="DP18" s="1202"/>
      <c r="DQ18" s="1202"/>
      <c r="DR18" s="1202"/>
      <c r="DS18" s="1202"/>
      <c r="DT18" s="1202"/>
      <c r="DU18" s="1202"/>
      <c r="DV18" s="1202"/>
      <c r="DW18" s="1202"/>
      <c r="DX18" s="1202"/>
      <c r="DY18" s="1202"/>
      <c r="DZ18" s="1202"/>
      <c r="EA18" s="1202"/>
      <c r="EB18" s="1202"/>
      <c r="EC18" s="1202"/>
      <c r="ED18" s="1202"/>
      <c r="EE18" s="1202"/>
      <c r="EF18" s="1202"/>
      <c r="EG18" s="1202"/>
      <c r="EH18" s="1202"/>
      <c r="EI18" s="1202"/>
      <c r="EJ18" s="1202"/>
      <c r="EK18" s="1202"/>
      <c r="EL18" s="1202"/>
      <c r="EM18" s="1202"/>
      <c r="EN18" s="1202"/>
      <c r="EO18" s="1202"/>
      <c r="EP18" s="1202"/>
      <c r="EQ18" s="1202"/>
      <c r="ER18" s="1202"/>
      <c r="ES18" s="1202"/>
      <c r="ET18" s="1202"/>
      <c r="EU18" s="1202"/>
      <c r="EV18" s="1202"/>
      <c r="EW18" s="1202"/>
      <c r="EX18" s="1202"/>
      <c r="EY18" s="1202"/>
      <c r="EZ18" s="1202"/>
      <c r="FA18" s="1202"/>
      <c r="FB18" s="1202"/>
      <c r="FC18" s="1202"/>
      <c r="FD18" s="1202"/>
      <c r="FE18" s="1202"/>
      <c r="FF18" s="1202"/>
      <c r="FG18" s="1202"/>
      <c r="FH18" s="1202"/>
      <c r="FI18" s="1202"/>
      <c r="FJ18" s="1202"/>
      <c r="FK18" s="1202"/>
      <c r="FL18" s="1202"/>
      <c r="FM18" s="1202"/>
      <c r="FN18" s="1202"/>
      <c r="FO18" s="1202"/>
      <c r="FP18" s="1202"/>
      <c r="FQ18" s="1202"/>
      <c r="FR18" s="1202"/>
      <c r="FS18" s="1202"/>
      <c r="FT18" s="1202"/>
      <c r="FU18" s="1202"/>
      <c r="FV18" s="1202"/>
      <c r="FW18" s="1201"/>
      <c r="FX18" s="1205"/>
      <c r="GC18" s="933">
        <v>0</v>
      </c>
    </row>
    <row s="934" customFormat="1" customHeight="1" ht="11.25" hidden="1">
      <c r="B19" s="932"/>
      <c r="E19" s="948"/>
      <c r="F19" s="1201"/>
      <c r="G19" s="1201"/>
      <c r="H19" s="1201"/>
      <c r="I19" s="1201"/>
      <c r="J19" s="1201"/>
      <c r="K19" s="1201"/>
      <c r="L19" s="1201"/>
      <c r="M19" s="1201"/>
      <c r="N19" s="1201"/>
      <c r="O19" s="1201"/>
      <c r="P19" s="1201"/>
      <c r="Q19" s="1201"/>
      <c r="R19" s="1201"/>
      <c r="S19" s="1201"/>
      <c r="T19" s="1201"/>
      <c r="U19" s="1203"/>
      <c r="V19" s="1203"/>
      <c r="W19" s="1203"/>
      <c r="X19" s="1203"/>
      <c r="Y19" s="1203"/>
      <c r="Z19" s="1203"/>
      <c r="AA19" s="1203"/>
      <c r="AB19" s="1201"/>
      <c r="AC19" s="1201"/>
      <c r="AD19" s="1201"/>
      <c r="AE19" s="1201"/>
      <c r="AF19" s="1201"/>
      <c r="AG19" s="1201"/>
      <c r="AH19" s="1201"/>
      <c r="AI19" s="1201"/>
      <c r="AJ19" s="1201"/>
      <c r="AK19" s="1201"/>
      <c r="AL19" s="1201"/>
      <c r="AM19" s="1201"/>
      <c r="AN19" s="1201"/>
      <c r="AO19" s="1201"/>
      <c r="AP19" s="1201"/>
      <c r="AQ19" s="1201"/>
      <c r="AR19" s="1201"/>
      <c r="AS19" s="1201"/>
      <c r="AT19" s="1201"/>
      <c r="AU19" s="1201"/>
      <c r="AV19" s="1201"/>
      <c r="AW19" s="1201"/>
      <c r="AX19" s="1201"/>
      <c r="AY19" s="1201"/>
      <c r="AZ19" s="1201"/>
      <c r="BA19" s="1201"/>
      <c r="BB19" s="1201"/>
      <c r="BC19" s="1201"/>
      <c r="BD19" s="1201"/>
      <c r="BE19" s="1201"/>
      <c r="BF19" s="1201"/>
      <c r="BG19" s="1201"/>
      <c r="BH19" s="1201"/>
      <c r="BI19" s="1201"/>
      <c r="BJ19" s="1201"/>
      <c r="BK19" s="1201"/>
      <c r="BL19" s="1201"/>
      <c r="BM19" s="1201"/>
      <c r="BN19" s="1201"/>
      <c r="BO19" s="1201"/>
      <c r="BP19" s="1201"/>
      <c r="BQ19" s="1201"/>
      <c r="BR19" s="1201"/>
      <c r="BS19" s="1201"/>
      <c r="BT19" s="1201"/>
      <c r="BU19" s="1201"/>
      <c r="BV19" s="1201"/>
      <c r="BW19" s="1201"/>
      <c r="BX19" s="1201"/>
      <c r="BY19" s="1201"/>
      <c r="BZ19" s="1201"/>
      <c r="CA19" s="1201"/>
      <c r="CB19" s="1201"/>
      <c r="CC19" s="1201"/>
      <c r="CD19" s="1201"/>
      <c r="CE19" s="1201"/>
      <c r="CF19" s="1201"/>
      <c r="CG19" s="1201"/>
      <c r="CH19" s="1201"/>
      <c r="CI19" s="1201"/>
      <c r="CJ19" s="1201"/>
      <c r="CK19" s="1201"/>
      <c r="CL19" s="1201"/>
      <c r="CM19" s="1201"/>
      <c r="CN19" s="1201"/>
      <c r="CO19" s="1201"/>
      <c r="CP19" s="1201"/>
      <c r="CQ19" s="1201"/>
      <c r="CR19" s="1201"/>
      <c r="CS19" s="1201"/>
      <c r="CT19" s="1201"/>
      <c r="CU19" s="1201"/>
      <c r="CV19" s="1201"/>
      <c r="CW19" s="1201"/>
      <c r="CX19" s="1201"/>
      <c r="CY19" s="1201"/>
      <c r="CZ19" s="1201"/>
      <c r="DA19" s="1201"/>
      <c r="DB19" s="1201"/>
      <c r="DC19" s="1201"/>
      <c r="DD19" s="1201"/>
      <c r="DE19" s="1201"/>
      <c r="DF19" s="1201"/>
      <c r="DG19" s="1201"/>
      <c r="DH19" s="1201"/>
      <c r="DI19" s="1201"/>
      <c r="DJ19" s="1201"/>
      <c r="DK19" s="1201"/>
      <c r="DL19" s="1201"/>
      <c r="DM19" s="1201"/>
      <c r="DN19" s="1201"/>
      <c r="DO19" s="1201"/>
      <c r="DP19" s="1201"/>
      <c r="DQ19" s="1201"/>
      <c r="DR19" s="1201"/>
      <c r="DS19" s="1201"/>
      <c r="DT19" s="1201"/>
      <c r="DU19" s="1201"/>
      <c r="DV19" s="1201"/>
      <c r="DW19" s="1201"/>
      <c r="DX19" s="1201"/>
      <c r="DY19" s="1201"/>
      <c r="DZ19" s="1201"/>
      <c r="EA19" s="1201"/>
      <c r="EB19" s="1201"/>
      <c r="EC19" s="1201"/>
      <c r="ED19" s="1201"/>
      <c r="EE19" s="1201"/>
      <c r="EF19" s="1201"/>
      <c r="EG19" s="1201"/>
      <c r="EH19" s="1201"/>
      <c r="EI19" s="1201"/>
      <c r="EJ19" s="1201"/>
      <c r="EK19" s="1201"/>
      <c r="EL19" s="1201"/>
      <c r="EM19" s="1201"/>
      <c r="EN19" s="1201"/>
      <c r="EO19" s="1201"/>
      <c r="EP19" s="1201"/>
      <c r="EQ19" s="1201"/>
      <c r="ER19" s="1201"/>
      <c r="ES19" s="1201"/>
      <c r="ET19" s="1201"/>
      <c r="EU19" s="1201"/>
      <c r="EV19" s="1201"/>
      <c r="EW19" s="1201"/>
      <c r="EX19" s="1201"/>
      <c r="EY19" s="1201"/>
      <c r="EZ19" s="1201"/>
      <c r="FA19" s="1201"/>
      <c r="FB19" s="1201"/>
      <c r="FC19" s="1201"/>
      <c r="FD19" s="1201"/>
      <c r="FE19" s="1201"/>
      <c r="FF19" s="1201"/>
      <c r="FG19" s="1201"/>
      <c r="FH19" s="1201"/>
      <c r="FI19" s="1201"/>
      <c r="FJ19" s="1201"/>
      <c r="FK19" s="1201"/>
      <c r="FL19" s="1201"/>
      <c r="FM19" s="1201"/>
      <c r="FN19" s="1201"/>
      <c r="FO19" s="1201"/>
      <c r="FP19" s="1201"/>
      <c r="FQ19" s="1201"/>
      <c r="FR19" s="1201"/>
      <c r="FS19" s="1201"/>
      <c r="FT19" s="1201"/>
      <c r="FU19" s="1201"/>
      <c r="FV19" s="1201"/>
      <c r="FW19" s="1201"/>
      <c r="FX19" s="1205"/>
      <c r="GC19" s="933">
        <v>0</v>
      </c>
    </row>
    <row s="934" customFormat="1" customHeight="1" ht="11.25" hidden="1">
      <c r="B20" s="949"/>
      <c r="D20" s="933"/>
      <c r="E20" s="948"/>
      <c r="F20" s="1206" t="s">
        <v>391</v>
      </c>
      <c r="G20" s="1207"/>
      <c r="H20" s="1208"/>
      <c r="I20" s="1208"/>
      <c r="J20" s="1208"/>
      <c r="K20" s="1208"/>
      <c r="L20" s="1208"/>
      <c r="M20" s="1208"/>
      <c r="N20" s="1208"/>
      <c r="O20" s="1207"/>
      <c r="P20" s="1207"/>
      <c r="Q20" s="1207"/>
      <c r="R20" s="1207"/>
      <c r="S20" s="1207"/>
      <c r="T20" s="1207"/>
      <c r="U20" s="1209"/>
      <c r="V20" s="1209"/>
      <c r="W20" s="1209"/>
      <c r="X20" s="1209"/>
      <c r="Y20" s="1209"/>
      <c r="Z20" s="1209"/>
      <c r="AA20" s="1209"/>
      <c r="AB20" s="1207"/>
      <c r="AC20" s="1208"/>
      <c r="AD20" s="1208"/>
      <c r="AE20" s="1208"/>
      <c r="AF20" s="1208"/>
      <c r="AG20" s="1208"/>
      <c r="AH20" s="1208"/>
      <c r="AI20" s="1208"/>
      <c r="AJ20" s="1208"/>
      <c r="AK20" s="1208"/>
      <c r="AL20" s="1208"/>
      <c r="AM20" s="1208"/>
      <c r="AN20" s="1208"/>
      <c r="AO20" s="1208"/>
      <c r="AP20" s="1208"/>
      <c r="AQ20" s="1208"/>
      <c r="AR20" s="1208"/>
      <c r="AS20" s="1208"/>
      <c r="AT20" s="1208"/>
      <c r="AU20" s="1208"/>
      <c r="AV20" s="1208"/>
      <c r="AW20" s="1208"/>
      <c r="AX20" s="1208"/>
      <c r="AY20" s="1208"/>
      <c r="AZ20" s="1208"/>
      <c r="BA20" s="1208"/>
      <c r="BB20" s="1208"/>
      <c r="BC20" s="1208"/>
      <c r="BD20" s="1208"/>
      <c r="BE20" s="1208"/>
      <c r="BF20" s="1208"/>
      <c r="BG20" s="1208"/>
      <c r="BH20" s="1208"/>
      <c r="BI20" s="1208"/>
      <c r="BJ20" s="1208"/>
      <c r="BK20" s="1208"/>
      <c r="BL20" s="1208"/>
      <c r="BM20" s="1208"/>
      <c r="BN20" s="1208"/>
      <c r="BO20" s="1208"/>
      <c r="BP20" s="1208"/>
      <c r="BQ20" s="1208"/>
      <c r="BR20" s="1208"/>
      <c r="BS20" s="1208"/>
      <c r="BT20" s="1208"/>
      <c r="BU20" s="1208"/>
      <c r="BV20" s="1208"/>
      <c r="BW20" s="1208"/>
      <c r="BX20" s="1208"/>
      <c r="BY20" s="1208"/>
      <c r="BZ20" s="1208"/>
      <c r="CA20" s="1208"/>
      <c r="CB20" s="1208"/>
      <c r="CC20" s="1208"/>
      <c r="CD20" s="1208"/>
      <c r="CE20" s="1208"/>
      <c r="CF20" s="1208"/>
      <c r="CG20" s="1208"/>
      <c r="CH20" s="1208"/>
      <c r="CI20" s="1208"/>
      <c r="CJ20" s="1208"/>
      <c r="CK20" s="1208"/>
      <c r="CL20" s="1210"/>
      <c r="CM20" s="1210"/>
      <c r="CN20" s="1210"/>
      <c r="CO20" s="1210"/>
      <c r="CP20" s="1210"/>
      <c r="CQ20" s="1210"/>
      <c r="CR20" s="1210"/>
      <c r="CS20" s="1210"/>
      <c r="CT20" s="1210"/>
      <c r="CU20" s="1210"/>
      <c r="CV20" s="1210"/>
      <c r="CW20" s="1210"/>
      <c r="CX20" s="1210"/>
      <c r="CY20" s="1210"/>
      <c r="CZ20" s="1210"/>
      <c r="DA20" s="1210"/>
      <c r="DB20" s="1210"/>
      <c r="DC20" s="1210"/>
      <c r="DD20" s="1210"/>
      <c r="DE20" s="1210"/>
      <c r="DF20" s="1210"/>
      <c r="DG20" s="1210"/>
      <c r="DH20" s="1210"/>
      <c r="DI20" s="1210"/>
      <c r="DJ20" s="1210"/>
      <c r="DK20" s="1210"/>
      <c r="DL20" s="1210"/>
      <c r="DM20" s="1210"/>
      <c r="DN20" s="1210"/>
      <c r="DO20" s="1210"/>
      <c r="DP20" s="1210"/>
      <c r="DQ20" s="1210"/>
      <c r="DR20" s="1210"/>
      <c r="DS20" s="1210"/>
      <c r="DT20" s="1210"/>
      <c r="DU20" s="1210"/>
      <c r="DV20" s="1210"/>
      <c r="DW20" s="1210"/>
      <c r="DX20" s="1210"/>
      <c r="DY20" s="1210"/>
      <c r="DZ20" s="1210"/>
      <c r="EA20" s="1210"/>
      <c r="EB20" s="1210"/>
      <c r="EC20" s="1210"/>
      <c r="ED20" s="1210"/>
      <c r="EE20" s="1210"/>
      <c r="EF20" s="1210"/>
      <c r="EG20" s="1210"/>
      <c r="EH20" s="1210"/>
      <c r="EI20" s="1210"/>
      <c r="EJ20" s="1210"/>
      <c r="EK20" s="1210"/>
      <c r="EL20" s="1210"/>
      <c r="EM20" s="1210"/>
      <c r="EN20" s="1210"/>
      <c r="EO20" s="1210"/>
      <c r="EP20" s="1210"/>
      <c r="EQ20" s="1210"/>
      <c r="ER20" s="1210"/>
      <c r="ES20" s="1210"/>
      <c r="ET20" s="1210"/>
      <c r="EU20" s="1210"/>
      <c r="EV20" s="1210"/>
      <c r="EW20" s="1210"/>
      <c r="EX20" s="1210"/>
      <c r="EY20" s="1210"/>
      <c r="EZ20" s="1210"/>
      <c r="FA20" s="1210"/>
      <c r="FB20" s="1210"/>
      <c r="FC20" s="1210"/>
      <c r="FD20" s="1210"/>
      <c r="FE20" s="1210"/>
      <c r="FF20" s="1210"/>
      <c r="FG20" s="1210"/>
      <c r="FH20" s="1210"/>
      <c r="FI20" s="1210"/>
      <c r="FJ20" s="1210"/>
      <c r="FK20" s="1210"/>
      <c r="FL20" s="1210"/>
      <c r="FM20" s="1210"/>
      <c r="FN20" s="1210"/>
      <c r="FO20" s="1210"/>
      <c r="FP20" s="1210"/>
      <c r="FQ20" s="1210"/>
      <c r="FR20" s="1210"/>
      <c r="FS20" s="1210"/>
      <c r="FT20" s="1210"/>
      <c r="FU20" s="1210"/>
      <c r="FV20" s="1210"/>
      <c r="FW20" s="1210"/>
      <c r="FX20" s="1211"/>
      <c r="GC20" s="931">
        <v>0</v>
      </c>
    </row>
    <row s="934" customFormat="1" customHeight="1" ht="21">
      <c r="A21" s="1333" t="s">
        <v>1036</v>
      </c>
      <c r="B21" s="949"/>
      <c r="C21" s="934"/>
      <c r="D21" s="934"/>
      <c r="E21" s="948" t="s">
        <v>22</v>
      </c>
      <c r="F21" s="1130" t="str">
        <f>INDEX(IP_MAIN_LIST_NAME_IP,MATCH(A21,IP_MAIN_LIST_IP_ID,0))&amp;" ("&amp;INDEX(IP_MAIN_START_DATE,MATCH(A21,IP_MAIN_LIST_IP_ID,0))&amp;"-"&amp;INDEX(IP_MAIN_END_DATE,MATCH(A21,IP_MAIN_LIST_IP_ID,0))&amp;")"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21" s="1212"/>
      <c r="H21" s="1213"/>
      <c r="I21" s="1213"/>
      <c r="J21" s="1213"/>
      <c r="K21" s="1213"/>
      <c r="L21" s="1213"/>
      <c r="M21" s="1213"/>
      <c r="N21" s="1213"/>
      <c r="O21" s="1212"/>
      <c r="P21" s="1212"/>
      <c r="Q21" s="1212"/>
      <c r="R21" s="1212"/>
      <c r="S21" s="1212"/>
      <c r="T21" s="1212"/>
      <c r="U21" s="1214"/>
      <c r="V21" s="1214"/>
      <c r="W21" s="1214"/>
      <c r="X21" s="1214"/>
      <c r="Y21" s="1214"/>
      <c r="Z21" s="1214"/>
      <c r="AA21" s="1214"/>
      <c r="AB21" s="1212"/>
      <c r="AC21" s="1213"/>
      <c r="AD21" s="1213"/>
      <c r="AE21" s="1213"/>
      <c r="AF21" s="1213"/>
      <c r="AG21" s="1213"/>
      <c r="AH21" s="1213"/>
      <c r="AI21" s="1213"/>
      <c r="AJ21" s="1213"/>
      <c r="AK21" s="1213"/>
      <c r="AL21" s="1213"/>
      <c r="AM21" s="1213"/>
      <c r="AN21" s="1213"/>
      <c r="AO21" s="1213"/>
      <c r="AP21" s="1213"/>
      <c r="AQ21" s="1213"/>
      <c r="AR21" s="1213"/>
      <c r="AS21" s="1213"/>
      <c r="AT21" s="1213"/>
      <c r="AU21" s="1213"/>
      <c r="AV21" s="1213"/>
      <c r="AW21" s="1213"/>
      <c r="AX21" s="1213"/>
      <c r="AY21" s="1213"/>
      <c r="AZ21" s="1213"/>
      <c r="BA21" s="1213"/>
      <c r="BB21" s="1213"/>
      <c r="BC21" s="1213"/>
      <c r="BD21" s="1213"/>
      <c r="BE21" s="1213"/>
      <c r="BF21" s="1213"/>
      <c r="BG21" s="1213"/>
      <c r="BH21" s="1213"/>
      <c r="BI21" s="1213"/>
      <c r="BJ21" s="1213"/>
      <c r="BK21" s="1213"/>
      <c r="BL21" s="1213"/>
      <c r="BM21" s="1213"/>
      <c r="BN21" s="1213"/>
      <c r="BO21" s="1213"/>
      <c r="BP21" s="1213"/>
      <c r="BQ21" s="1213"/>
      <c r="BR21" s="1213"/>
      <c r="BS21" s="1213"/>
      <c r="BT21" s="1213"/>
      <c r="BU21" s="1213"/>
      <c r="BV21" s="1213"/>
      <c r="BW21" s="1213"/>
      <c r="BX21" s="1213"/>
      <c r="BY21" s="1213"/>
      <c r="BZ21" s="1213"/>
      <c r="CA21" s="1213"/>
      <c r="CB21" s="1213"/>
      <c r="CC21" s="1213"/>
      <c r="CD21" s="1213"/>
      <c r="CE21" s="1213"/>
      <c r="CF21" s="1213"/>
      <c r="CG21" s="1213"/>
      <c r="CH21" s="1213"/>
      <c r="CI21" s="1213"/>
      <c r="CJ21" s="1213"/>
      <c r="CK21" s="1213"/>
      <c r="CL21" s="1215"/>
      <c r="CM21" s="1215"/>
      <c r="CN21" s="1215"/>
      <c r="CO21" s="1215"/>
      <c r="CP21" s="1215"/>
      <c r="CQ21" s="1215"/>
      <c r="CR21" s="1215"/>
      <c r="CS21" s="1215"/>
      <c r="CT21" s="1215"/>
      <c r="CU21" s="1215"/>
      <c r="CV21" s="1215"/>
      <c r="CW21" s="1215"/>
      <c r="CX21" s="1215"/>
      <c r="CY21" s="1215"/>
      <c r="CZ21" s="1215"/>
      <c r="DA21" s="1215"/>
      <c r="DB21" s="1215"/>
      <c r="DC21" s="1215"/>
      <c r="DD21" s="1215"/>
      <c r="DE21" s="1215"/>
      <c r="DF21" s="1215"/>
      <c r="DG21" s="1215"/>
      <c r="DH21" s="1215"/>
      <c r="DI21" s="1215"/>
      <c r="DJ21" s="1215"/>
      <c r="DK21" s="1215"/>
      <c r="DL21" s="1215"/>
      <c r="DM21" s="1215"/>
      <c r="DN21" s="1215"/>
      <c r="DO21" s="1215"/>
      <c r="DP21" s="1215"/>
      <c r="DQ21" s="1215"/>
      <c r="DR21" s="1215"/>
      <c r="DS21" s="1215"/>
      <c r="DT21" s="1215"/>
      <c r="DU21" s="1215"/>
      <c r="DV21" s="1215"/>
      <c r="DW21" s="1215"/>
      <c r="DX21" s="1215"/>
      <c r="DY21" s="1215"/>
      <c r="DZ21" s="1215"/>
      <c r="EA21" s="1215"/>
      <c r="EB21" s="1215"/>
      <c r="EC21" s="1215"/>
      <c r="ED21" s="1215"/>
      <c r="EE21" s="1215"/>
      <c r="EF21" s="1215"/>
      <c r="EG21" s="1215"/>
      <c r="EH21" s="1215"/>
      <c r="EI21" s="1215"/>
      <c r="EJ21" s="1215"/>
      <c r="EK21" s="1215"/>
      <c r="EL21" s="1215"/>
      <c r="EM21" s="1215"/>
      <c r="EN21" s="1215"/>
      <c r="EO21" s="1215"/>
      <c r="EP21" s="1215"/>
      <c r="EQ21" s="1215"/>
      <c r="ER21" s="1215"/>
      <c r="ES21" s="1215"/>
      <c r="ET21" s="1215"/>
      <c r="EU21" s="1215"/>
      <c r="EV21" s="1215"/>
      <c r="EW21" s="1215"/>
      <c r="EX21" s="1215"/>
      <c r="EY21" s="1215"/>
      <c r="EZ21" s="1215"/>
      <c r="FA21" s="1215"/>
      <c r="FB21" s="1215"/>
      <c r="FC21" s="1215"/>
      <c r="FD21" s="1215"/>
      <c r="FE21" s="1215"/>
      <c r="FF21" s="1215"/>
      <c r="FG21" s="1215"/>
      <c r="FH21" s="1215"/>
      <c r="FI21" s="1215"/>
      <c r="FJ21" s="1215"/>
      <c r="FK21" s="1215"/>
      <c r="FL21" s="1215"/>
      <c r="FM21" s="1215"/>
      <c r="FN21" s="1215"/>
      <c r="FO21" s="1215"/>
      <c r="FP21" s="1215"/>
      <c r="FQ21" s="1215"/>
      <c r="FR21" s="1215"/>
      <c r="FS21" s="1215"/>
      <c r="FT21" s="1215"/>
      <c r="FU21" s="1215"/>
      <c r="FV21" s="1216"/>
      <c r="FW21" s="1210"/>
      <c r="FX21" s="1211"/>
      <c r="FY21" s="934"/>
      <c r="FZ21" s="934"/>
      <c r="GA21" s="934"/>
      <c r="GB21" s="934"/>
    </row>
    <row s="934" customFormat="1" customHeight="1" ht="24.75">
      <c r="A22" s="934" t="s">
        <v>1036</v>
      </c>
      <c r="B22" s="949"/>
      <c r="C22" s="934"/>
      <c r="D22" s="934"/>
      <c r="E22" s="1856"/>
      <c r="F22" s="2417">
        <v>1</v>
      </c>
      <c r="G22" s="2590" t="s">
        <v>1028</v>
      </c>
      <c r="H22" s="1219" t="s">
        <v>1421</v>
      </c>
      <c r="I22" s="1988" t="s">
        <v>1422</v>
      </c>
      <c r="J22" s="1220"/>
      <c r="K22" s="1220"/>
      <c r="L22" s="1220"/>
      <c r="M22" s="1220"/>
      <c r="N22" s="1220"/>
      <c r="O22" s="1221"/>
      <c r="P22" s="1221"/>
      <c r="Q22" s="1221"/>
      <c r="R22" s="1221"/>
      <c r="S22" s="1221">
        <v>161.72</v>
      </c>
      <c r="T22" s="1221">
        <v>161.7</v>
      </c>
      <c r="U22" s="1221">
        <v>6.11</v>
      </c>
      <c r="V22" s="1221">
        <v>16.07</v>
      </c>
      <c r="W22" s="1221">
        <v>40.97</v>
      </c>
      <c r="X22" s="1221">
        <v>103.96</v>
      </c>
      <c r="Y22" s="1221">
        <v>1430248.97</v>
      </c>
      <c r="Z22" s="1221">
        <v>1337729.55</v>
      </c>
      <c r="AA22" s="1221">
        <v>9595982.62</v>
      </c>
      <c r="AB22" s="1221">
        <v>8651480</v>
      </c>
      <c r="AC22" s="1220"/>
      <c r="AD22" s="1220"/>
      <c r="AE22" s="1220"/>
      <c r="AF22" s="1220"/>
      <c r="AG22" s="1220"/>
      <c r="AH22" s="1220"/>
      <c r="AI22" s="1220"/>
      <c r="AJ22" s="1220"/>
      <c r="AK22" s="1220"/>
      <c r="AL22" s="1220"/>
      <c r="AM22" s="1220"/>
      <c r="AN22" s="1220"/>
      <c r="AO22" s="1220"/>
      <c r="AP22" s="1220"/>
      <c r="AQ22" s="1220"/>
      <c r="AR22" s="1220"/>
      <c r="AS22" s="1220"/>
      <c r="AT22" s="1220"/>
      <c r="AU22" s="1220"/>
      <c r="AV22" s="1220"/>
      <c r="AW22" s="1220"/>
      <c r="AX22" s="1220"/>
      <c r="AY22" s="1220"/>
      <c r="AZ22" s="1220"/>
      <c r="BA22" s="1220"/>
      <c r="BB22" s="1220"/>
      <c r="BC22" s="1220"/>
      <c r="BD22" s="1220"/>
      <c r="BE22" s="1220"/>
      <c r="BF22" s="1220"/>
      <c r="BG22" s="1220"/>
      <c r="BH22" s="1220"/>
      <c r="BI22" s="1220"/>
      <c r="BJ22" s="1220"/>
      <c r="BK22" s="1220"/>
      <c r="BL22" s="1220"/>
      <c r="BM22" s="1220"/>
      <c r="BN22" s="1220"/>
      <c r="BO22" s="1220"/>
      <c r="BP22" s="1220"/>
      <c r="BQ22" s="1220"/>
      <c r="BR22" s="1220"/>
      <c r="BS22" s="1220"/>
      <c r="BT22" s="1221"/>
      <c r="BU22" s="1221"/>
      <c r="BV22" s="1221"/>
      <c r="BW22" s="1221"/>
      <c r="BX22" s="1221"/>
      <c r="BY22" s="1221"/>
      <c r="BZ22" s="1221"/>
      <c r="CA22" s="1221"/>
      <c r="CB22" s="1221"/>
      <c r="CC22" s="1221"/>
      <c r="CD22" s="1221"/>
      <c r="CE22" s="1221"/>
      <c r="CF22" s="1221"/>
      <c r="CG22" s="1221"/>
      <c r="CH22" s="1221"/>
      <c r="CI22" s="1221"/>
      <c r="CJ22" s="1221"/>
      <c r="CK22" s="1221"/>
      <c r="CL22" s="1220"/>
      <c r="CM22" s="1220"/>
      <c r="CN22" s="1220"/>
      <c r="CO22" s="1220"/>
      <c r="CP22" s="1220"/>
      <c r="CQ22" s="1220"/>
      <c r="CR22" s="1220"/>
      <c r="CS22" s="1220"/>
      <c r="CT22" s="1220"/>
      <c r="CU22" s="1220"/>
      <c r="CV22" s="1220"/>
      <c r="CW22" s="1220"/>
      <c r="CX22" s="1220"/>
      <c r="CY22" s="1221"/>
      <c r="CZ22" s="1221"/>
      <c r="DA22" s="1221"/>
      <c r="DB22" s="1221"/>
      <c r="DC22" s="1221"/>
      <c r="DD22" s="1221"/>
      <c r="DE22" s="1221"/>
      <c r="DF22" s="1221"/>
      <c r="DG22" s="1221"/>
      <c r="DH22" s="1221"/>
      <c r="DI22" s="1221"/>
      <c r="DJ22" s="1221"/>
      <c r="DK22" s="1220"/>
      <c r="DL22" s="1220"/>
      <c r="DM22" s="1220"/>
      <c r="DN22" s="1220"/>
      <c r="DO22" s="1220"/>
      <c r="DP22" s="1220"/>
      <c r="DQ22" s="1220"/>
      <c r="DR22" s="1220"/>
      <c r="DS22" s="1220"/>
      <c r="DT22" s="1220"/>
      <c r="DU22" s="1220"/>
      <c r="DV22" s="1220"/>
      <c r="DW22" s="1220"/>
      <c r="DX22" s="1220"/>
      <c r="DY22" s="1220"/>
      <c r="DZ22" s="1220"/>
      <c r="EA22" s="1220"/>
      <c r="EB22" s="1220"/>
      <c r="EC22" s="1220"/>
      <c r="ED22" s="1220"/>
      <c r="EE22" s="1220"/>
      <c r="EF22" s="1220"/>
      <c r="EG22" s="1220"/>
      <c r="EH22" s="1220"/>
      <c r="EI22" s="1220"/>
      <c r="EJ22" s="1220"/>
      <c r="EK22" s="1220"/>
      <c r="EL22" s="1220"/>
      <c r="EM22" s="1220"/>
      <c r="EN22" s="1220"/>
      <c r="EO22" s="1220"/>
      <c r="EP22" s="1220"/>
      <c r="EQ22" s="1220"/>
      <c r="ER22" s="1220"/>
      <c r="ES22" s="1220"/>
      <c r="ET22" s="1220"/>
      <c r="EU22" s="1220"/>
      <c r="EV22" s="1220"/>
      <c r="EW22" s="1220"/>
      <c r="EX22" s="1220"/>
      <c r="EY22" s="1220"/>
      <c r="EZ22" s="1220"/>
      <c r="FA22" s="1220"/>
      <c r="FB22" s="1220"/>
      <c r="FC22" s="1220"/>
      <c r="FD22" s="1220"/>
      <c r="FE22" s="1220"/>
      <c r="FF22" s="1220"/>
      <c r="FG22" s="1220"/>
      <c r="FH22" s="1220"/>
      <c r="FI22" s="1220"/>
      <c r="FJ22" s="1220"/>
      <c r="FK22" s="1220"/>
      <c r="FL22" s="1220"/>
      <c r="FM22" s="1220"/>
      <c r="FN22" s="1220"/>
      <c r="FO22" s="1220"/>
      <c r="FP22" s="1220"/>
      <c r="FQ22" s="1220"/>
      <c r="FR22" s="1220"/>
      <c r="FS22" s="1220"/>
      <c r="FT22" s="1220"/>
      <c r="FU22" s="1220"/>
      <c r="FV22" s="1220"/>
      <c r="FW22" s="1220"/>
      <c r="FX22" s="1211"/>
      <c r="FY22" s="934"/>
      <c r="FZ22" s="934"/>
      <c r="GA22" s="934"/>
      <c r="GB22" s="934"/>
    </row>
    <row s="934" customFormat="1" customHeight="1" ht="12">
      <c r="A23" s="934" t="s">
        <v>1036</v>
      </c>
      <c r="B23" s="949"/>
      <c r="C23" s="934"/>
      <c r="D23" s="934"/>
      <c r="E23" s="934"/>
      <c r="F23" s="2729"/>
      <c r="G23" s="2730" t="s">
        <v>1423</v>
      </c>
      <c r="H23" s="2731"/>
      <c r="I23" s="2732"/>
      <c r="J23" s="2733"/>
      <c r="K23" s="2734"/>
      <c r="L23" s="2735"/>
      <c r="M23" s="2736"/>
      <c r="N23" s="2737"/>
      <c r="O23" s="2738"/>
      <c r="P23" s="2739"/>
      <c r="Q23" s="2740"/>
      <c r="R23" s="2741"/>
      <c r="S23" s="2742"/>
      <c r="T23" s="2743"/>
      <c r="U23" s="2744"/>
      <c r="V23" s="2745"/>
      <c r="W23" s="2746"/>
      <c r="X23" s="2747"/>
      <c r="Y23" s="2748"/>
      <c r="Z23" s="2749"/>
      <c r="AA23" s="2750"/>
      <c r="AB23" s="2751"/>
      <c r="AC23" s="2752"/>
      <c r="AD23" s="2753"/>
      <c r="AE23" s="2754"/>
      <c r="AF23" s="2755"/>
      <c r="AG23" s="2756"/>
      <c r="AH23" s="2757"/>
      <c r="AI23" s="2758"/>
      <c r="AJ23" s="2759"/>
      <c r="AK23" s="2760"/>
      <c r="AL23" s="2761"/>
      <c r="AM23" s="2762"/>
      <c r="AN23" s="2763"/>
      <c r="AO23" s="2764"/>
      <c r="AP23" s="2765"/>
      <c r="AQ23" s="2766"/>
      <c r="AR23" s="2767"/>
      <c r="AS23" s="2768"/>
      <c r="AT23" s="2769"/>
      <c r="AU23" s="2770"/>
      <c r="AV23" s="2771"/>
      <c r="AW23" s="2772"/>
      <c r="AX23" s="2773"/>
      <c r="AY23" s="2774"/>
      <c r="AZ23" s="2775"/>
      <c r="BA23" s="2776"/>
      <c r="BB23" s="2777"/>
      <c r="BC23" s="2778"/>
      <c r="BD23" s="2779"/>
      <c r="BE23" s="2780"/>
      <c r="BF23" s="2781"/>
      <c r="BG23" s="2782"/>
      <c r="BH23" s="2783"/>
      <c r="BI23" s="2784"/>
      <c r="BJ23" s="2785"/>
      <c r="BK23" s="2786"/>
      <c r="BL23" s="2787"/>
      <c r="BM23" s="2788"/>
      <c r="BN23" s="2789"/>
      <c r="BO23" s="2790"/>
      <c r="BP23" s="2791"/>
      <c r="BQ23" s="2792"/>
      <c r="BR23" s="2793"/>
      <c r="BS23" s="2794"/>
      <c r="BT23" s="2795"/>
      <c r="BU23" s="2796"/>
      <c r="BV23" s="2797"/>
      <c r="BW23" s="2798"/>
      <c r="BX23" s="2799"/>
      <c r="BY23" s="2800"/>
      <c r="BZ23" s="2801"/>
      <c r="CA23" s="2802"/>
      <c r="CB23" s="2803"/>
      <c r="CC23" s="2804"/>
      <c r="CD23" s="2805"/>
      <c r="CE23" s="2806"/>
      <c r="CF23" s="2807"/>
      <c r="CG23" s="2808"/>
      <c r="CH23" s="2809"/>
      <c r="CI23" s="2810"/>
      <c r="CJ23" s="2811"/>
      <c r="CK23" s="2812"/>
      <c r="CL23" s="2813"/>
      <c r="CM23" s="2814"/>
      <c r="CN23" s="2815"/>
      <c r="CO23" s="2816"/>
      <c r="CP23" s="2817"/>
      <c r="CQ23" s="2818"/>
      <c r="CR23" s="2819"/>
      <c r="CS23" s="2820"/>
      <c r="CT23" s="2821"/>
      <c r="CU23" s="2822"/>
      <c r="CV23" s="2823"/>
      <c r="CW23" s="2824"/>
      <c r="CX23" s="2825"/>
      <c r="CY23" s="2826"/>
      <c r="CZ23" s="2827"/>
      <c r="DA23" s="2828"/>
      <c r="DB23" s="2829"/>
      <c r="DC23" s="2830"/>
      <c r="DD23" s="2831"/>
      <c r="DE23" s="2832"/>
      <c r="DF23" s="2833"/>
      <c r="DG23" s="2834"/>
      <c r="DH23" s="2835"/>
      <c r="DI23" s="2836"/>
      <c r="DJ23" s="2837"/>
      <c r="DK23" s="2838"/>
      <c r="DL23" s="2839"/>
      <c r="DM23" s="2840"/>
      <c r="DN23" s="2841"/>
      <c r="DO23" s="2842"/>
      <c r="DP23" s="2843"/>
      <c r="DQ23" s="2844"/>
      <c r="DR23" s="2845"/>
      <c r="DS23" s="2846"/>
      <c r="DT23" s="2847"/>
      <c r="DU23" s="2848"/>
      <c r="DV23" s="2849"/>
      <c r="DW23" s="2850"/>
      <c r="DX23" s="2851"/>
      <c r="DY23" s="2852"/>
      <c r="DZ23" s="2853"/>
      <c r="EA23" s="2854"/>
      <c r="EB23" s="2855"/>
      <c r="EC23" s="2856"/>
      <c r="ED23" s="2857"/>
      <c r="EE23" s="2858"/>
      <c r="EF23" s="2859"/>
      <c r="EG23" s="2860"/>
      <c r="EH23" s="2861"/>
      <c r="EI23" s="2862"/>
      <c r="EJ23" s="2863"/>
      <c r="EK23" s="2864"/>
      <c r="EL23" s="2865"/>
      <c r="EM23" s="2866"/>
      <c r="EN23" s="2867"/>
      <c r="EO23" s="2868"/>
      <c r="EP23" s="2869"/>
      <c r="EQ23" s="2870"/>
      <c r="ER23" s="2871"/>
      <c r="ES23" s="2872"/>
      <c r="ET23" s="2873"/>
      <c r="EU23" s="2874"/>
      <c r="EV23" s="2875"/>
      <c r="EW23" s="2876"/>
      <c r="EX23" s="2877"/>
      <c r="EY23" s="2878"/>
      <c r="EZ23" s="2879"/>
      <c r="FA23" s="2880"/>
      <c r="FB23" s="2881"/>
      <c r="FC23" s="2882"/>
      <c r="FD23" s="2883"/>
      <c r="FE23" s="2884"/>
      <c r="FF23" s="2885"/>
      <c r="FG23" s="2886"/>
      <c r="FH23" s="2887"/>
      <c r="FI23" s="2888"/>
      <c r="FJ23" s="2889"/>
      <c r="FK23" s="2890"/>
      <c r="FL23" s="2891"/>
      <c r="FM23" s="2892"/>
      <c r="FN23" s="2893"/>
      <c r="FO23" s="2894"/>
      <c r="FP23" s="2895"/>
      <c r="FQ23" s="2896"/>
      <c r="FR23" s="2897"/>
      <c r="FS23" s="2898"/>
      <c r="FT23" s="2899"/>
      <c r="FU23" s="2900"/>
      <c r="FV23" s="2901"/>
      <c r="FW23" s="2902"/>
      <c r="FX23" s="1831"/>
      <c r="FY23" s="1071"/>
      <c r="FZ23" s="1071"/>
      <c r="GA23" s="1071"/>
      <c r="GB23" s="1071"/>
    </row>
    <row s="934" customFormat="1" customHeight="1" ht="12.75">
      <c r="A24" s="950"/>
      <c r="B24" s="950"/>
      <c r="C24" s="950"/>
      <c r="D24" s="950"/>
      <c r="E24" s="950"/>
      <c r="F24" s="948"/>
      <c r="G24" s="948"/>
      <c r="H24" s="948"/>
      <c r="I24" s="948"/>
      <c r="J24" s="948"/>
      <c r="K24" s="948"/>
      <c r="L24" s="948"/>
      <c r="M24" s="948"/>
      <c r="N24" s="948"/>
      <c r="O24" s="948"/>
      <c r="P24" s="948"/>
      <c r="Q24" s="948"/>
      <c r="R24" s="948"/>
      <c r="S24" s="951"/>
      <c r="T24" s="951"/>
      <c r="U24" s="948"/>
      <c r="V24" s="948"/>
      <c r="W24" s="948"/>
      <c r="X24" s="948"/>
      <c r="Y24" s="948"/>
      <c r="Z24" s="948"/>
      <c r="AA24" s="948"/>
      <c r="AB24" s="948"/>
      <c r="AC24" s="948"/>
      <c r="AD24" s="948"/>
      <c r="AE24" s="948"/>
      <c r="AF24" s="948"/>
      <c r="AG24" s="948"/>
      <c r="AH24" s="948"/>
      <c r="AI24" s="948"/>
      <c r="AJ24" s="948"/>
      <c r="AK24" s="948"/>
      <c r="AL24" s="948"/>
      <c r="AM24" s="948"/>
      <c r="AN24" s="948"/>
      <c r="AO24" s="948"/>
      <c r="AP24" s="948"/>
      <c r="AQ24" s="948"/>
      <c r="AR24" s="948"/>
      <c r="AS24" s="948"/>
      <c r="AT24" s="948"/>
      <c r="AU24" s="948"/>
      <c r="AV24" s="948"/>
      <c r="AW24" s="948"/>
      <c r="AX24" s="948"/>
      <c r="AY24" s="948"/>
      <c r="AZ24" s="948"/>
      <c r="BA24" s="948"/>
      <c r="BB24" s="948"/>
      <c r="BC24" s="948"/>
      <c r="BD24" s="948"/>
      <c r="BE24" s="948"/>
      <c r="BF24" s="948"/>
      <c r="BG24" s="948"/>
      <c r="BH24" s="948"/>
      <c r="BI24" s="948"/>
      <c r="BJ24" s="948"/>
      <c r="BK24" s="948"/>
      <c r="BL24" s="948"/>
      <c r="BM24" s="948"/>
      <c r="BN24" s="948"/>
      <c r="BO24" s="948"/>
      <c r="BP24" s="948"/>
      <c r="BQ24" s="948"/>
      <c r="BR24" s="948"/>
      <c r="BS24" s="948"/>
      <c r="BT24" s="948"/>
      <c r="BU24" s="948"/>
      <c r="BV24" s="948"/>
      <c r="BW24" s="948"/>
      <c r="BX24" s="948"/>
      <c r="BY24" s="948"/>
      <c r="BZ24" s="948"/>
      <c r="CA24" s="948"/>
      <c r="CB24" s="948"/>
      <c r="CC24" s="948"/>
      <c r="CD24" s="948"/>
      <c r="CE24" s="948"/>
      <c r="CF24" s="948"/>
      <c r="CG24" s="948"/>
      <c r="CH24" s="948"/>
      <c r="CI24" s="948"/>
      <c r="CJ24" s="948"/>
      <c r="CK24" s="948"/>
      <c r="CL24" s="948"/>
      <c r="CM24" s="948"/>
      <c r="CN24" s="948"/>
      <c r="CO24" s="948"/>
      <c r="CP24" s="948"/>
      <c r="CQ24" s="948"/>
      <c r="CR24" s="948"/>
      <c r="CS24" s="948"/>
      <c r="CT24" s="948"/>
      <c r="CU24" s="948"/>
      <c r="CV24" s="948"/>
      <c r="CW24" s="948"/>
      <c r="CX24" s="948"/>
      <c r="CY24" s="948"/>
      <c r="CZ24" s="948"/>
      <c r="DA24" s="948"/>
      <c r="DB24" s="948"/>
      <c r="DC24" s="948"/>
      <c r="DD24" s="948"/>
      <c r="DE24" s="948"/>
      <c r="DF24" s="948"/>
      <c r="DG24" s="948"/>
      <c r="DH24" s="948"/>
      <c r="DI24" s="948"/>
      <c r="DJ24" s="948"/>
      <c r="DK24" s="948"/>
      <c r="DL24" s="948"/>
      <c r="DM24" s="948"/>
      <c r="DN24" s="948"/>
      <c r="DO24" s="948"/>
      <c r="DP24" s="948"/>
      <c r="DQ24" s="948"/>
      <c r="DR24" s="948"/>
      <c r="DS24" s="948"/>
      <c r="DT24" s="948"/>
      <c r="DU24" s="948"/>
      <c r="DV24" s="948"/>
      <c r="DW24" s="948"/>
      <c r="DX24" s="948"/>
      <c r="DY24" s="948"/>
      <c r="DZ24" s="948"/>
      <c r="EA24" s="948"/>
      <c r="EB24" s="948"/>
      <c r="EC24" s="948"/>
      <c r="ED24" s="948"/>
      <c r="EE24" s="948"/>
      <c r="EF24" s="948"/>
      <c r="EG24" s="948"/>
      <c r="EH24" s="948"/>
      <c r="EI24" s="948"/>
      <c r="EJ24" s="948"/>
      <c r="EK24" s="948"/>
      <c r="EL24" s="948"/>
      <c r="EM24" s="948"/>
      <c r="EN24" s="948"/>
      <c r="EO24" s="948"/>
      <c r="EP24" s="948"/>
      <c r="EQ24" s="948"/>
      <c r="ER24" s="948"/>
      <c r="ES24" s="948"/>
      <c r="ET24" s="948"/>
      <c r="EU24" s="948"/>
      <c r="EV24" s="948"/>
      <c r="EW24" s="948"/>
      <c r="EX24" s="948"/>
      <c r="EY24" s="948"/>
      <c r="EZ24" s="948"/>
      <c r="FA24" s="948"/>
      <c r="FB24" s="948"/>
      <c r="FC24" s="948"/>
      <c r="FD24" s="948"/>
      <c r="FE24" s="948"/>
      <c r="FF24" s="948"/>
      <c r="FG24" s="948"/>
      <c r="FH24" s="948"/>
      <c r="FI24" s="948"/>
      <c r="FJ24" s="948"/>
      <c r="FK24" s="948"/>
      <c r="FL24" s="948"/>
      <c r="FM24" s="948"/>
      <c r="FN24" s="948"/>
      <c r="FO24" s="948"/>
      <c r="FP24" s="948"/>
      <c r="FQ24" s="948"/>
      <c r="FR24" s="948"/>
      <c r="FS24" s="948"/>
      <c r="FT24" s="948"/>
      <c r="FU24" s="948"/>
      <c r="FV24" s="948"/>
      <c r="FW24" s="948"/>
      <c r="FX24" s="950"/>
      <c r="FY24" s="950"/>
      <c r="FZ24" s="950"/>
      <c r="GA24" s="950"/>
      <c r="GB24" s="950"/>
      <c r="GC24" s="931">
        <v>12</v>
      </c>
    </row>
    <row s="934" customFormat="1" customHeight="1" ht="12.75">
      <c r="A25" s="950"/>
      <c r="B25" s="950"/>
      <c r="C25" s="950"/>
      <c r="D25" s="950"/>
      <c r="E25" s="950"/>
      <c r="FX25" s="950"/>
      <c r="FY25" s="950"/>
      <c r="FZ25" s="950"/>
      <c r="GA25" s="950"/>
      <c r="GB25" s="950"/>
      <c r="GC25" s="931">
        <v>12</v>
      </c>
    </row>
    <row s="1072" customFormat="1" customHeight="1" ht="12.75">
      <c r="A26" s="1071"/>
      <c r="B26" s="1071"/>
      <c r="C26" s="1071"/>
      <c r="D26" s="1071"/>
      <c r="E26" s="1071"/>
      <c r="O26" s="1073"/>
      <c r="P26" s="1073"/>
      <c r="Q26" s="1073"/>
      <c r="R26" s="1073"/>
      <c r="S26" s="1073"/>
      <c r="T26" s="1073"/>
      <c r="U26" s="1073"/>
      <c r="V26" s="1073"/>
      <c r="W26" s="1073"/>
      <c r="X26" s="1073"/>
      <c r="Y26" s="1073"/>
      <c r="Z26" s="1073"/>
      <c r="AA26" s="1073"/>
      <c r="AB26" s="1073"/>
      <c r="AC26" s="1073"/>
      <c r="AD26" s="1073"/>
      <c r="AE26" s="1073"/>
      <c r="AF26" s="1073"/>
      <c r="AG26" s="1073"/>
      <c r="AH26" s="1073"/>
      <c r="AI26" s="1073"/>
      <c r="AJ26" s="1073"/>
      <c r="AK26" s="1073"/>
      <c r="AL26" s="1073"/>
      <c r="AM26" s="1073"/>
      <c r="AN26" s="1073"/>
      <c r="AO26" s="1073"/>
      <c r="AP26" s="1073"/>
      <c r="AQ26" s="1073"/>
      <c r="AR26" s="1073"/>
      <c r="AS26" s="1073"/>
      <c r="AT26" s="1073"/>
      <c r="AU26" s="1073"/>
      <c r="AV26" s="1073"/>
      <c r="AW26" s="1073"/>
      <c r="AX26" s="1073"/>
      <c r="AY26" s="1073"/>
      <c r="AZ26" s="1073"/>
      <c r="BA26" s="1073"/>
      <c r="BB26" s="1073"/>
      <c r="BC26" s="1073"/>
      <c r="BD26" s="1073"/>
      <c r="BE26" s="1073"/>
      <c r="BF26" s="1073"/>
      <c r="BG26" s="1073"/>
      <c r="BH26" s="1073"/>
      <c r="BI26" s="1073"/>
      <c r="BJ26" s="1073"/>
      <c r="BK26" s="1073"/>
      <c r="BL26" s="1073"/>
      <c r="BM26" s="1073"/>
      <c r="BN26" s="1073"/>
      <c r="BO26" s="1073"/>
      <c r="BP26" s="1073"/>
      <c r="BQ26" s="1073"/>
      <c r="BR26" s="1073"/>
      <c r="BS26" s="1073"/>
      <c r="BT26" s="1074"/>
      <c r="BU26" s="1074"/>
      <c r="BV26" s="1074"/>
      <c r="BW26" s="1074"/>
      <c r="BX26" s="1074"/>
      <c r="BY26" s="1074"/>
      <c r="BZ26" s="1074"/>
      <c r="CA26" s="1074"/>
      <c r="CB26" s="1074"/>
      <c r="CC26" s="1074"/>
      <c r="CD26" s="1074"/>
      <c r="CE26" s="1074"/>
      <c r="CF26" s="1074"/>
      <c r="CG26" s="1074"/>
      <c r="CH26" s="1074"/>
      <c r="CI26" s="1074"/>
      <c r="CJ26" s="1074"/>
      <c r="CK26" s="1074"/>
      <c r="CL26" s="1074"/>
      <c r="CM26" s="1074"/>
      <c r="CN26" s="1074"/>
      <c r="CO26" s="1074"/>
      <c r="CP26" s="1074"/>
      <c r="CQ26" s="1074"/>
      <c r="CR26" s="1074"/>
      <c r="CS26" s="1074"/>
      <c r="CT26" s="1074"/>
      <c r="CU26" s="1074"/>
      <c r="CV26" s="1074"/>
      <c r="CW26" s="1074"/>
      <c r="CX26" s="1074"/>
      <c r="CY26" s="1074"/>
      <c r="CZ26" s="1074"/>
      <c r="DA26" s="1074"/>
      <c r="DB26" s="1074"/>
      <c r="DC26" s="1074"/>
      <c r="DD26" s="1074"/>
      <c r="DE26" s="1074"/>
      <c r="DF26" s="1074"/>
      <c r="DG26" s="1074"/>
      <c r="DH26" s="1074"/>
      <c r="DI26" s="1074"/>
      <c r="DJ26" s="1074"/>
      <c r="DK26" s="1074"/>
      <c r="DL26" s="1074"/>
      <c r="DM26" s="1074"/>
      <c r="DN26" s="1074"/>
      <c r="DO26" s="1074"/>
      <c r="DP26" s="1074"/>
      <c r="DQ26" s="1074"/>
      <c r="DR26" s="1074"/>
      <c r="DS26" s="1074"/>
      <c r="DT26" s="1074"/>
      <c r="DU26" s="1074"/>
      <c r="DV26" s="1074"/>
      <c r="DW26" s="1074"/>
      <c r="DX26" s="1074"/>
      <c r="FX26" s="1071"/>
      <c r="FY26" s="1071"/>
      <c r="FZ26" s="1071"/>
      <c r="GA26" s="1071"/>
      <c r="GB26" s="1071"/>
      <c r="GC26" s="1072">
        <v>12</v>
      </c>
    </row>
    <row customHeight="1" ht="12.75">
      <c r="S27" s="947"/>
      <c r="T27" s="947"/>
      <c r="U27" s="947"/>
      <c r="V27" s="947"/>
      <c r="W27" s="947"/>
      <c r="X27" s="947"/>
      <c r="Y27" s="947"/>
      <c r="Z27" s="947"/>
      <c r="AA27" s="947"/>
      <c r="AB27" s="947"/>
      <c r="FX27" s="947"/>
      <c r="FY27" s="947"/>
      <c r="FZ27" s="947"/>
      <c r="GA27" s="947"/>
      <c r="GB27" s="947"/>
      <c r="GC27" s="935">
        <v>12</v>
      </c>
    </row>
    <row customHeight="1" ht="12" hidden="1">
      <c r="A28" s="935" t="s">
        <v>83</v>
      </c>
      <c r="B28" s="945">
        <v>0</v>
      </c>
      <c r="C28" s="935">
        <v>0</v>
      </c>
      <c r="D28" s="935">
        <v>0</v>
      </c>
      <c r="E28" s="935">
        <v>3</v>
      </c>
      <c r="F28" s="935">
        <v>6</v>
      </c>
      <c r="G28" s="935">
        <v>18</v>
      </c>
      <c r="H28" s="935">
        <v>27</v>
      </c>
      <c r="I28" s="935">
        <v>18</v>
      </c>
      <c r="J28" s="935">
        <v>0</v>
      </c>
      <c r="K28" s="935">
        <v>0</v>
      </c>
      <c r="L28" s="935">
        <v>0</v>
      </c>
      <c r="M28" s="935">
        <v>0</v>
      </c>
      <c r="N28" s="935">
        <v>0</v>
      </c>
      <c r="O28" s="935">
        <v>0</v>
      </c>
      <c r="P28" s="935">
        <v>0</v>
      </c>
      <c r="Q28" s="935">
        <v>0</v>
      </c>
      <c r="R28" s="935">
        <v>0</v>
      </c>
      <c r="S28" s="935">
        <v>0</v>
      </c>
      <c r="T28" s="935">
        <v>0</v>
      </c>
      <c r="U28" s="935">
        <v>0</v>
      </c>
      <c r="V28" s="935">
        <v>0</v>
      </c>
      <c r="W28" s="935">
        <v>0</v>
      </c>
      <c r="X28" s="935">
        <v>0</v>
      </c>
      <c r="Y28" s="935">
        <v>0</v>
      </c>
      <c r="Z28" s="935">
        <v>0</v>
      </c>
      <c r="AA28" s="935">
        <v>0</v>
      </c>
      <c r="AB28" s="935">
        <v>0</v>
      </c>
      <c r="AC28" s="935">
        <v>0</v>
      </c>
      <c r="AD28" s="935">
        <v>0</v>
      </c>
      <c r="AE28" s="935">
        <v>0</v>
      </c>
      <c r="AF28" s="935">
        <v>0</v>
      </c>
      <c r="AG28" s="935">
        <v>0</v>
      </c>
      <c r="AH28" s="935">
        <v>0</v>
      </c>
      <c r="AI28" s="935">
        <v>0</v>
      </c>
      <c r="AJ28" s="935">
        <v>0</v>
      </c>
      <c r="AK28" s="935">
        <v>0</v>
      </c>
      <c r="AL28" s="935">
        <v>0</v>
      </c>
      <c r="AM28" s="935">
        <v>0</v>
      </c>
      <c r="AN28" s="935">
        <v>0</v>
      </c>
      <c r="AO28" s="935">
        <v>0</v>
      </c>
      <c r="AP28" s="935">
        <v>0</v>
      </c>
      <c r="AQ28" s="935">
        <v>0</v>
      </c>
      <c r="AR28" s="935">
        <v>0</v>
      </c>
      <c r="AS28" s="935">
        <v>0</v>
      </c>
      <c r="AT28" s="935">
        <v>0</v>
      </c>
      <c r="AU28" s="935">
        <v>0</v>
      </c>
      <c r="AV28" s="935">
        <v>0</v>
      </c>
      <c r="AW28" s="935">
        <v>0</v>
      </c>
      <c r="AX28" s="935">
        <v>0</v>
      </c>
      <c r="AY28" s="935">
        <v>0</v>
      </c>
      <c r="AZ28" s="935">
        <v>0</v>
      </c>
      <c r="BA28" s="935">
        <v>0</v>
      </c>
      <c r="BB28" s="935">
        <v>0</v>
      </c>
      <c r="BC28" s="935">
        <v>0</v>
      </c>
      <c r="BD28" s="935">
        <v>0</v>
      </c>
      <c r="BE28" s="935">
        <v>0</v>
      </c>
      <c r="BF28" s="935">
        <v>0</v>
      </c>
      <c r="BG28" s="935">
        <v>0</v>
      </c>
      <c r="BH28" s="935">
        <v>0</v>
      </c>
      <c r="BI28" s="935">
        <v>0</v>
      </c>
      <c r="BJ28" s="935">
        <v>0</v>
      </c>
      <c r="BK28" s="935">
        <v>0</v>
      </c>
      <c r="BL28" s="935">
        <v>0</v>
      </c>
      <c r="BM28" s="935">
        <v>0</v>
      </c>
      <c r="BN28" s="935">
        <v>0</v>
      </c>
      <c r="BO28" s="935">
        <v>0</v>
      </c>
      <c r="BP28" s="935">
        <v>0</v>
      </c>
      <c r="BQ28" s="935">
        <v>0</v>
      </c>
      <c r="BR28" s="935">
        <v>0</v>
      </c>
      <c r="BS28" s="935">
        <v>0</v>
      </c>
      <c r="BT28" s="935">
        <v>0</v>
      </c>
      <c r="BU28" s="935">
        <v>0</v>
      </c>
      <c r="BV28" s="935">
        <v>0</v>
      </c>
      <c r="BW28" s="935">
        <v>0</v>
      </c>
      <c r="BX28" s="935">
        <v>0</v>
      </c>
      <c r="BY28" s="935">
        <v>0</v>
      </c>
      <c r="BZ28" s="935">
        <v>0</v>
      </c>
      <c r="CA28" s="935">
        <v>0</v>
      </c>
      <c r="CB28" s="935">
        <v>0</v>
      </c>
      <c r="CC28" s="935">
        <v>0</v>
      </c>
      <c r="CD28" s="935">
        <v>0</v>
      </c>
      <c r="CE28" s="935">
        <v>0</v>
      </c>
      <c r="CF28" s="935">
        <v>0</v>
      </c>
      <c r="CG28" s="935">
        <v>0</v>
      </c>
      <c r="CH28" s="935">
        <v>0</v>
      </c>
      <c r="CI28" s="935">
        <v>0</v>
      </c>
      <c r="CJ28" s="935">
        <v>0</v>
      </c>
      <c r="CK28" s="935">
        <v>0</v>
      </c>
      <c r="CL28" s="935">
        <v>0</v>
      </c>
      <c r="CM28" s="935">
        <v>0</v>
      </c>
      <c r="CN28" s="935">
        <v>0</v>
      </c>
      <c r="CO28" s="935">
        <v>0</v>
      </c>
      <c r="CP28" s="935">
        <v>0</v>
      </c>
      <c r="CQ28" s="935">
        <v>0</v>
      </c>
      <c r="CR28" s="935">
        <v>0</v>
      </c>
      <c r="CS28" s="935">
        <v>0</v>
      </c>
      <c r="CT28" s="935">
        <v>0</v>
      </c>
      <c r="CU28" s="935">
        <v>0</v>
      </c>
      <c r="CV28" s="935">
        <v>0</v>
      </c>
      <c r="CW28" s="935">
        <v>0</v>
      </c>
      <c r="CX28" s="935">
        <v>0</v>
      </c>
      <c r="CY28" s="935">
        <v>0</v>
      </c>
      <c r="CZ28" s="935">
        <v>0</v>
      </c>
      <c r="DA28" s="935">
        <v>0</v>
      </c>
      <c r="DB28" s="935">
        <v>0</v>
      </c>
      <c r="DC28" s="935">
        <v>0</v>
      </c>
      <c r="DD28" s="935">
        <v>0</v>
      </c>
      <c r="DE28" s="935">
        <v>0</v>
      </c>
      <c r="DF28" s="935">
        <v>0</v>
      </c>
      <c r="DG28" s="935">
        <v>0</v>
      </c>
      <c r="DH28" s="935">
        <v>0</v>
      </c>
      <c r="DI28" s="935">
        <v>0</v>
      </c>
      <c r="DJ28" s="935">
        <v>0</v>
      </c>
      <c r="DK28" s="935">
        <v>0</v>
      </c>
      <c r="DL28" s="935">
        <v>0</v>
      </c>
      <c r="DM28" s="935">
        <v>0</v>
      </c>
      <c r="DN28" s="935">
        <v>0</v>
      </c>
      <c r="DO28" s="935">
        <v>0</v>
      </c>
      <c r="DP28" s="935">
        <v>0</v>
      </c>
      <c r="DQ28" s="935">
        <v>0</v>
      </c>
      <c r="DR28" s="935">
        <v>0</v>
      </c>
      <c r="DS28" s="935">
        <v>0</v>
      </c>
      <c r="DT28" s="935">
        <v>0</v>
      </c>
      <c r="DU28" s="935">
        <v>0</v>
      </c>
      <c r="DV28" s="935">
        <v>0</v>
      </c>
      <c r="DW28" s="935">
        <v>0</v>
      </c>
      <c r="DX28" s="935">
        <v>0</v>
      </c>
      <c r="DY28" s="935">
        <v>0</v>
      </c>
      <c r="DZ28" s="935">
        <v>0</v>
      </c>
      <c r="EA28" s="935">
        <v>0</v>
      </c>
      <c r="EB28" s="935">
        <v>0</v>
      </c>
      <c r="EC28" s="935">
        <v>0</v>
      </c>
      <c r="ED28" s="935">
        <v>0</v>
      </c>
      <c r="EE28" s="935">
        <v>0</v>
      </c>
      <c r="EF28" s="935">
        <v>0</v>
      </c>
      <c r="EG28" s="935">
        <v>0</v>
      </c>
      <c r="EH28" s="935">
        <v>0</v>
      </c>
      <c r="EI28" s="935">
        <v>0</v>
      </c>
      <c r="EJ28" s="935">
        <v>0</v>
      </c>
      <c r="EK28" s="935">
        <v>0</v>
      </c>
      <c r="EL28" s="935">
        <v>0</v>
      </c>
      <c r="EM28" s="935">
        <v>0</v>
      </c>
      <c r="EN28" s="935">
        <v>0</v>
      </c>
      <c r="EO28" s="935">
        <v>0</v>
      </c>
      <c r="EP28" s="935">
        <v>0</v>
      </c>
      <c r="EQ28" s="935">
        <v>0</v>
      </c>
      <c r="ER28" s="935">
        <v>0</v>
      </c>
      <c r="ES28" s="935">
        <v>0</v>
      </c>
      <c r="ET28" s="935">
        <v>0</v>
      </c>
      <c r="EU28" s="935">
        <v>0</v>
      </c>
      <c r="EV28" s="935">
        <v>0</v>
      </c>
      <c r="EW28" s="935">
        <v>0</v>
      </c>
      <c r="EX28" s="935">
        <v>0</v>
      </c>
      <c r="EY28" s="935">
        <v>0</v>
      </c>
      <c r="EZ28" s="935">
        <v>0</v>
      </c>
      <c r="FA28" s="935">
        <v>0</v>
      </c>
      <c r="FB28" s="935">
        <v>0</v>
      </c>
      <c r="FC28" s="935">
        <v>0</v>
      </c>
      <c r="FD28" s="935">
        <v>0</v>
      </c>
      <c r="FE28" s="935">
        <v>0</v>
      </c>
      <c r="FF28" s="935">
        <v>0</v>
      </c>
      <c r="FG28" s="935">
        <v>0</v>
      </c>
      <c r="FH28" s="935">
        <v>0</v>
      </c>
      <c r="FI28" s="935">
        <v>0</v>
      </c>
      <c r="FJ28" s="935">
        <v>0</v>
      </c>
      <c r="FK28" s="935">
        <v>0</v>
      </c>
      <c r="FL28" s="935">
        <v>0</v>
      </c>
      <c r="FM28" s="935">
        <v>0</v>
      </c>
      <c r="FN28" s="935">
        <v>0</v>
      </c>
      <c r="FO28" s="935">
        <v>0</v>
      </c>
      <c r="FP28" s="935">
        <v>0</v>
      </c>
      <c r="FQ28" s="935">
        <v>0</v>
      </c>
      <c r="FR28" s="935">
        <v>0</v>
      </c>
      <c r="FS28" s="935">
        <v>0</v>
      </c>
      <c r="FT28" s="935">
        <v>0</v>
      </c>
      <c r="FU28" s="935">
        <v>0</v>
      </c>
      <c r="FV28" s="935">
        <v>0</v>
      </c>
      <c r="FW28" s="935">
        <v>0</v>
      </c>
      <c r="FX28" s="935">
        <v>8</v>
      </c>
      <c r="FY28" s="935">
        <v>8</v>
      </c>
      <c r="FZ28" s="935">
        <v>8</v>
      </c>
      <c r="GA28" s="935">
        <v>8</v>
      </c>
      <c r="GB28" s="935">
        <v>8</v>
      </c>
      <c r="GC28" s="935">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257C2C-348A-DC4E-670D-0.026AA8AC}" mc:Ignorable="x14ac xr xr2 xr3">
  <sheetPr>
    <tabColor theme="2" tint="-0.1"/>
  </sheetPr>
  <dimension ref="A1:V23"/>
  <sheetViews>
    <sheetView showGridLines="0" zoomScale="90" workbookViewId="0">
      <pane xSplit="7" ySplit="14" topLeftCell="K15" activePane="bottomRight" state="frozen"/>
      <selection pane="bottomLeft" activeCell="A15" sqref="A15"/>
      <selection pane="topRight" activeCell="H1" sqref="H1"/>
      <selection pane="bottomRight" activeCell="K8" sqref="K8"/>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36.00390625" customWidth="1"/>
    <col min="6" max="6" style="1644" width="9.00390625" customWidth="1"/>
    <col min="7" max="7" style="1644" width="42.421875" hidden="1" customWidth="1"/>
    <col min="8" max="8" style="1644" width="40.7109375" customWidth="1"/>
    <col min="9" max="11" style="1644" width="42.421875" customWidth="1"/>
    <col min="12" max="12" style="1375" width="93.00390625" customWidth="1"/>
    <col min="13" max="20" style="1644" width="10.00390625" customWidth="1"/>
    <col min="21" max="21" style="684" width="10.00390625" customWidth="1"/>
    <col min="22" max="22" style="1644" width="10.57421875" hidden="1"/>
  </cols>
  <sheetData>
    <row s="1375" customFormat="1" customHeight="1" ht="15" hidden="1">
      <c r="C1" s="681"/>
      <c r="H1" s="426">
        <v>4</v>
      </c>
      <c r="I1" s="1375"/>
      <c r="J1" s="1375"/>
      <c r="K1" s="1375"/>
      <c r="U1" s="429"/>
      <c r="V1" s="426" t="s">
        <v>14</v>
      </c>
    </row>
    <row customHeight="1" ht="22.5" hidden="1">
      <c r="C2" s="1934" t="s">
        <v>104</v>
      </c>
      <c r="D2" s="548"/>
      <c r="E2" s="672"/>
      <c r="F2" s="1769" t="str">
        <f>IF(TEMPLATE_SPHERE="HEAT","Гкал/час","тыс. куб. м/сутки")</f>
        <v>Гкал/час</v>
      </c>
      <c r="G2" s="689"/>
      <c r="H2" s="689"/>
      <c r="I2" s="689"/>
      <c r="J2" s="689"/>
      <c r="K2" s="689"/>
      <c r="L2" s="298"/>
      <c r="V2" s="514">
        <v>0</v>
      </c>
    </row>
    <row s="1375" customFormat="1" customHeight="1" ht="15" hidden="1">
      <c r="C3" s="681"/>
      <c r="I3" s="1375"/>
      <c r="J3" s="1375"/>
      <c r="K3" s="1375"/>
      <c r="U3" s="429"/>
      <c r="V3" s="426">
        <v>0</v>
      </c>
    </row>
    <row customHeight="1" ht="15.75">
      <c r="C4" s="185"/>
      <c r="D4" s="518"/>
      <c r="E4" s="518"/>
      <c r="F4" s="518"/>
      <c r="G4" s="518"/>
      <c r="H4" s="518"/>
      <c r="I4" s="1644"/>
      <c r="J4" s="1644"/>
      <c r="K4" s="1644"/>
      <c r="V4" s="514">
        <v>15</v>
      </c>
    </row>
    <row customHeight="1" ht="39.75">
      <c r="C5" s="185"/>
      <c r="D5" s="226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5"/>
      <c r="F5" s="2265"/>
      <c r="G5" s="2265"/>
      <c r="H5" s="2265"/>
      <c r="I5" s="2276"/>
      <c r="J5" s="2276"/>
      <c r="K5" s="2276"/>
      <c r="L5" s="546"/>
      <c r="V5" s="514">
        <v>38</v>
      </c>
    </row>
    <row customHeight="1" ht="15.75">
      <c r="C6" s="185"/>
      <c r="D6" s="2204" t="str">
        <f>IF(org=0,"Не определено",org)</f>
        <v>АО "ДГК"</v>
      </c>
      <c r="E6" s="2204"/>
      <c r="F6" s="2204"/>
      <c r="G6" s="2204"/>
      <c r="H6" s="2204"/>
      <c r="I6" s="2277"/>
      <c r="J6" s="2277"/>
      <c r="K6" s="2277"/>
      <c r="L6" s="546"/>
      <c r="V6" s="514">
        <v>15</v>
      </c>
    </row>
    <row s="1644" customFormat="1" customHeight="1" ht="15.75">
      <c r="A7" s="768"/>
      <c r="C7" s="185"/>
      <c r="D7" s="685"/>
      <c r="E7" s="685"/>
      <c r="F7" s="685"/>
      <c r="G7" s="685"/>
      <c r="H7" s="761"/>
      <c r="I7" s="2435" t="s">
        <v>22</v>
      </c>
      <c r="J7" s="2435" t="s">
        <v>22</v>
      </c>
      <c r="K7" s="2435" t="s">
        <v>22</v>
      </c>
      <c r="L7" s="546"/>
      <c r="U7" s="684"/>
      <c r="V7" s="767">
        <v>15</v>
      </c>
    </row>
    <row customHeight="1" ht="1.05">
      <c r="C8" s="185"/>
      <c r="D8" s="518"/>
      <c r="E8" s="518"/>
      <c r="F8" s="518"/>
      <c r="G8" s="518"/>
      <c r="H8" s="546" t="s">
        <v>126</v>
      </c>
      <c r="I8" s="1644" t="s">
        <v>131</v>
      </c>
      <c r="J8" s="1644" t="s">
        <v>134</v>
      </c>
      <c r="K8" s="1644" t="s">
        <v>136</v>
      </c>
      <c r="V8" s="514">
        <v>1</v>
      </c>
    </row>
    <row customHeight="1" ht="15.75">
      <c r="C9" s="185"/>
      <c r="D9" s="720"/>
      <c r="E9" s="2395" t="s">
        <v>114</v>
      </c>
      <c r="F9" s="2396"/>
      <c r="G9" s="825" t="str">
        <f>IF(G8="","",INDEX(DIFFERENTIATION_UNMERGE_VD,MATCH(G8,DIFFERENTIATION_ID_DIFF,0)))</f>
        <v/>
      </c>
      <c r="H9" s="825" t="str">
        <f>IF(H8="","",INDEX(DIFFERENTIATION_UNMERGE_VD,MATCH(H8,DIFFERENTIATION_ID_DIFF,0)))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I9" s="2423"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423" t="str">
        <f>IF(J8="","",INDEX(DIFFERENTIATION_UNMERGE_VD,MATCH(J8,DIFFERENTIATION_ID_DIFF,0)))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K9" s="2423" t="str">
        <f>IF(K8="","",INDEX(DIFFERENTIATION_UNMERGE_VD,MATCH(K8,DIFFERENTIATION_ID_DIFF,0)))</f>
        <v>Подключение (технологическое присоединение) к системе теплоснабжения</v>
      </c>
      <c r="L9" s="2155" t="s">
        <v>316</v>
      </c>
      <c r="V9" s="514">
        <v>15</v>
      </c>
    </row>
    <row s="1644" customFormat="1" customHeight="1" ht="15.75">
      <c r="A10" s="768"/>
      <c r="C10" s="185"/>
      <c r="D10" s="720"/>
      <c r="E10" s="2395" t="s">
        <v>577</v>
      </c>
      <c r="F10" s="2396"/>
      <c r="G10" s="825" t="str">
        <f>IF(G8="","",INDEX(DIFFERENTIATION_UNMERGE_AREA,MATCH(G8,DIFFERENTIATION_ID_DIFF,0)))</f>
        <v/>
      </c>
      <c r="H10" s="825" t="str">
        <f>IF(H8="","",INDEX(DIFFERENTIATION_UNMERGE_AREA,MATCH(H8,DIFFERENTIATION_ID_DIFF,0)))</f>
        <v>Территория 1</v>
      </c>
      <c r="I10" s="2423" t="str">
        <f>IF(I8="","",INDEX(DIFFERENTIATION_UNMERGE_AREA,MATCH(I8,DIFFERENTIATION_ID_DIFF,0)))</f>
        <v>Территория 3</v>
      </c>
      <c r="J10" s="2423" t="str">
        <f>IF(J8="","",INDEX(DIFFERENTIATION_UNMERGE_AREA,MATCH(J8,DIFFERENTIATION_ID_DIFF,0)))</f>
        <v>Территория 2</v>
      </c>
      <c r="K10" s="2423" t="str">
        <f>IF(K8="","",INDEX(DIFFERENTIATION_UNMERGE_AREA,MATCH(K8,DIFFERENTIATION_ID_DIFF,0)))</f>
        <v>без дифференциации</v>
      </c>
      <c r="L10" s="2155"/>
      <c r="U10" s="684"/>
      <c r="V10" s="767">
        <v>15</v>
      </c>
    </row>
    <row s="1644" customFormat="1" customHeight="1" ht="15.75">
      <c r="A11" s="768"/>
      <c r="C11" s="185"/>
      <c r="D11" s="720"/>
      <c r="E11" s="2395" t="s">
        <v>578</v>
      </c>
      <c r="F11" s="2396"/>
      <c r="G11" s="825" t="str">
        <f>IF(G8="","",INDEX(DIFFERENTIATION_UNMERGE_SYSTEM,MATCH(G8,DIFFERENTIATION_ID_DIFF,0)))</f>
        <v/>
      </c>
      <c r="H11" s="825" t="str">
        <f>IF(H8="","",INDEX(DIFFERENTIATION_UNMERGE_SYSTEM,MATCH(H8,DIFFERENTIATION_ID_DIFF,0)))</f>
        <v>Артемовская ТЭЦ, ТС г. Артем</v>
      </c>
      <c r="I11" s="2423" t="str">
        <f>IF(I8="","",INDEX(DIFFERENTIATION_UNMERGE_SYSTEM,MATCH(I8,DIFFERENTIATION_ID_DIFF,0)))</f>
        <v>Партизанская ГРЭС, ТС г. Партизанск</v>
      </c>
      <c r="J11" s="2423" t="str">
        <f>IF(J8="","",INDEX(DIFFERENTIATION_UNMERGE_SYSTEM,MATCH(J8,DIFFERENTIATION_ID_DIFF,0)))</f>
        <v>Восточная ТЭЦ, котельные г. Владивосток, ТС г. Владивосток</v>
      </c>
      <c r="K11" s="2423" t="str">
        <f>IF(K8="","",INDEX(DIFFERENTIATION_UNMERGE_SYSTEM,MATCH(K8,DIFFERENTIATION_ID_DIFF,0)))</f>
        <v>без дифференциации</v>
      </c>
      <c r="L11" s="2155"/>
      <c r="U11" s="684"/>
      <c r="V11" s="767">
        <v>15</v>
      </c>
    </row>
    <row s="1644" customFormat="1" customHeight="1" ht="15.75">
      <c r="A12" s="768"/>
      <c r="C12" s="185"/>
      <c r="D12" s="2397" t="s">
        <v>315</v>
      </c>
      <c r="E12" s="2398"/>
      <c r="F12" s="2398"/>
      <c r="G12" s="896"/>
      <c r="H12" s="896"/>
      <c r="I12" s="2395"/>
      <c r="J12" s="2395"/>
      <c r="K12" s="2395"/>
      <c r="L12" s="2155"/>
      <c r="U12" s="684"/>
      <c r="V12" s="767">
        <v>15</v>
      </c>
    </row>
    <row customHeight="1" ht="35.699999999999996">
      <c r="C13" s="185"/>
      <c r="D13" s="770" t="s">
        <v>89</v>
      </c>
      <c r="E13" s="769" t="s">
        <v>317</v>
      </c>
      <c r="F13" s="769" t="s">
        <v>579</v>
      </c>
      <c r="G13" s="817" t="s">
        <v>318</v>
      </c>
      <c r="H13" s="763" t="s">
        <v>318</v>
      </c>
      <c r="I13" s="2290" t="s">
        <v>318</v>
      </c>
      <c r="J13" s="2290" t="s">
        <v>318</v>
      </c>
      <c r="K13" s="2290" t="s">
        <v>318</v>
      </c>
      <c r="L13" s="2155"/>
      <c r="V13" s="514">
        <v>34</v>
      </c>
    </row>
    <row customHeight="1" ht="15" hidden="1">
      <c r="C14" s="185"/>
      <c r="D14" s="602" t="s">
        <v>118</v>
      </c>
      <c r="E14" s="602" t="s">
        <v>103</v>
      </c>
      <c r="F14" s="602" t="s">
        <v>91</v>
      </c>
      <c r="G14" s="668" t="str">
        <f>G1&amp;".1"</f>
        <v>.1</v>
      </c>
      <c r="H14" s="668" t="str">
        <f>H1&amp;".1"</f>
        <v>4.1</v>
      </c>
      <c r="I14" s="692" t="str">
        <f>I1&amp;".1"</f>
        <v>.1</v>
      </c>
      <c r="J14" s="692" t="str">
        <f>J1&amp;".1"</f>
        <v>.1</v>
      </c>
      <c r="K14" s="692" t="str">
        <f>K1&amp;".1"</f>
        <v>.1</v>
      </c>
      <c r="L14" s="298"/>
      <c r="V14" s="514">
        <v>0</v>
      </c>
    </row>
    <row customHeight="1" ht="15.75">
      <c r="A15" s="514"/>
      <c r="C15" s="535"/>
      <c r="D15" s="530">
        <v>1</v>
      </c>
      <c r="E15" s="1936" t="str">
        <f>TP_P_A</f>
        <v>Количество поданных заявок</v>
      </c>
      <c r="F15" s="530" t="s">
        <v>1424</v>
      </c>
      <c r="G15" s="694"/>
      <c r="H15" s="694"/>
      <c r="I15" s="694"/>
      <c r="J15" s="694"/>
      <c r="K15" s="694"/>
      <c r="L15" s="217"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V15" s="514">
        <v>15</v>
      </c>
    </row>
    <row customHeight="1" ht="15.75">
      <c r="A16" s="514"/>
      <c r="C16" s="535"/>
      <c r="D16" s="530">
        <v>2</v>
      </c>
      <c r="E16" s="1936" t="str">
        <f>TP_P_B</f>
        <v>Количество рассмотренных заявок</v>
      </c>
      <c r="F16" s="530" t="s">
        <v>1424</v>
      </c>
      <c r="G16" s="694"/>
      <c r="H16" s="694"/>
      <c r="I16" s="694"/>
      <c r="J16" s="694"/>
      <c r="K16" s="694"/>
      <c r="L16" s="217"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V16" s="514">
        <v>15</v>
      </c>
    </row>
    <row customHeight="1" ht="77.7">
      <c r="A17" s="514"/>
      <c r="C17" s="535"/>
      <c r="D17" s="530">
        <v>3</v>
      </c>
      <c r="E17" s="1936"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530" t="s">
        <v>1424</v>
      </c>
      <c r="G17" s="694"/>
      <c r="H17" s="694"/>
      <c r="I17" s="694"/>
      <c r="J17" s="694"/>
      <c r="K17" s="694"/>
      <c r="L17" s="217" t="str">
        <f>TP_P_NOTE_V</f>
        <v>Указывается количество заявок с решением об отказе в течение отчетного квартала.</v>
      </c>
      <c r="V17" s="514">
        <v>74</v>
      </c>
    </row>
    <row customHeight="1" ht="54.75">
      <c r="A18" s="514"/>
      <c r="C18" s="535"/>
      <c r="D18" s="530">
        <v>4</v>
      </c>
      <c r="E18" s="1936" t="str">
        <f>TP_P_V_1</f>
        <v>Причины отказа в заключении договора о подключении (технологическом присоединении) к системе теплоснабжения</v>
      </c>
      <c r="F18" s="530" t="s">
        <v>321</v>
      </c>
      <c r="G18" s="695"/>
      <c r="H18" s="695"/>
      <c r="I18" s="2381"/>
      <c r="J18" s="2381"/>
      <c r="K18" s="2381"/>
      <c r="L18" s="84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V18" s="514">
        <v>52</v>
      </c>
    </row>
    <row customHeight="1" ht="60">
      <c r="A19" s="514"/>
      <c r="C19" s="535"/>
      <c r="D19" s="530">
        <v>5</v>
      </c>
      <c r="E19" s="1936" t="str">
        <f>TP_P_G</f>
        <v>Резерв мощности источников тепловой энергии, входящих в систему теплоснабжения, в течение одного квартала, в том числе:</v>
      </c>
      <c r="F19" s="530" t="str">
        <f>IF(TEMPLATE_SPHERE="HEAT","Гкал/час","тыс. куб. м/сутки")</f>
        <v>Гкал/час</v>
      </c>
      <c r="G19" s="696">
        <f>SUM(G20:G22)</f>
        <v>0</v>
      </c>
      <c r="H19" s="696">
        <f>SUM(H20:H22)</f>
        <v>0</v>
      </c>
      <c r="I19" s="696">
        <f>SUM(I20:I22)</f>
        <v>0</v>
      </c>
      <c r="J19" s="696">
        <f>SUM(J20:J22)</f>
        <v>0</v>
      </c>
      <c r="K19" s="696">
        <f>SUM(K20:K22)</f>
        <v>0</v>
      </c>
      <c r="L19" s="217"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19" s="514">
        <v>57</v>
      </c>
    </row>
    <row customHeight="1" ht="15" hidden="1">
      <c r="D20" s="518" t="s">
        <v>1425</v>
      </c>
      <c r="E20" s="697"/>
      <c r="F20" s="518"/>
      <c r="G20" s="518"/>
      <c r="H20" s="518"/>
      <c r="I20" s="1644"/>
      <c r="J20" s="1644"/>
      <c r="K20" s="1644"/>
      <c r="L20" s="1771"/>
      <c r="V20" s="514">
        <v>0</v>
      </c>
    </row>
    <row customHeight="1" ht="29.25">
      <c r="C21" s="460"/>
      <c r="D21" s="548" t="s">
        <v>328</v>
      </c>
      <c r="E21" s="679"/>
      <c r="F21" s="1769" t="str">
        <f>IF(TEMPLATE_SPHERE="HEAT","Гкал/час","тыс. куб. м/сутки")</f>
        <v>Гкал/час</v>
      </c>
      <c r="G21" s="689"/>
      <c r="H21" s="689"/>
      <c r="I21" s="689"/>
      <c r="J21" s="689"/>
      <c r="K21" s="689"/>
      <c r="L21" s="219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V21" s="514">
        <v>28</v>
      </c>
    </row>
    <row customHeight="1" ht="15.75">
      <c r="A22" s="514"/>
      <c r="C22" s="514"/>
      <c r="D22" s="356"/>
      <c r="E22" s="589" t="s">
        <v>1426</v>
      </c>
      <c r="F22" s="581"/>
      <c r="G22" s="581"/>
      <c r="H22" s="581"/>
      <c r="I22" s="2718"/>
      <c r="J22" s="2719"/>
      <c r="K22" s="2720"/>
      <c r="L22" s="2199"/>
      <c r="U22" s="514"/>
      <c r="V22" s="514">
        <v>15</v>
      </c>
    </row>
    <row customHeight="1" ht="22.5" hidden="1">
      <c r="A23" s="458" t="s">
        <v>83</v>
      </c>
      <c r="B23" s="514">
        <v>0</v>
      </c>
      <c r="C23" s="692">
        <v>4</v>
      </c>
      <c r="D23" s="514">
        <v>6</v>
      </c>
      <c r="E23" s="514">
        <v>36</v>
      </c>
      <c r="F23" s="514">
        <v>9</v>
      </c>
      <c r="G23" s="767">
        <v>0</v>
      </c>
      <c r="H23" s="514">
        <v>40</v>
      </c>
      <c r="I23" s="1644">
        <v>0</v>
      </c>
      <c r="J23" s="1644">
        <v>0</v>
      </c>
      <c r="K23" s="1644">
        <v>0</v>
      </c>
      <c r="L23" s="426">
        <v>93</v>
      </c>
      <c r="M23" s="514">
        <v>10</v>
      </c>
      <c r="N23" s="514">
        <v>10</v>
      </c>
      <c r="O23" s="514">
        <v>10</v>
      </c>
      <c r="P23" s="514">
        <v>10</v>
      </c>
      <c r="Q23" s="514">
        <v>10</v>
      </c>
      <c r="R23" s="514">
        <v>10</v>
      </c>
      <c r="S23" s="514">
        <v>10</v>
      </c>
      <c r="T23" s="514">
        <v>10</v>
      </c>
      <c r="U23" s="684">
        <v>10</v>
      </c>
      <c r="V23" s="514">
        <v>23</v>
      </c>
    </row>
  </sheetData>
  <sheetProtection sheet="1" formatColumns="0" formatRows="0" autoFilter="0" sort="1" insertRows="1" insertColumns="1" deleteRows="1" deleteColumns="1"/>
  <mergeCells count="8">
    <mergeCell ref="L21:L22"/>
    <mergeCell ref="L9:L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K2 G21:K21">
      <formula1>-9.99999999999999E+23</formula1>
      <formula2>9.99999999999999E+23</formula2>
    </dataValidation>
    <dataValidation type="whole" allowBlank="1" showErrorMessage="1" errorTitle="Ошибка" error="Допускается ввод только неотрицательных целых чисел!" sqref="G15:K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K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C736A2-32D6-A423-8CC2-0.981D7DDA}" mc:Ignorable="x14ac xr xr2 xr3">
  <sheetPr>
    <tabColor theme="6" tint="0.4"/>
    <pageSetUpPr fitToPage="1"/>
  </sheetPr>
  <dimension ref="A1:Q36"/>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25" width="9.140625" hidden="1" customWidth="1"/>
    <col min="2" max="2" style="1375" width="9.140625" hidden="1" customWidth="1"/>
    <col min="3" max="3" style="353" width="3.00390625" customWidth="1"/>
    <col min="4" max="4" style="1644" width="6.00390625" customWidth="1"/>
    <col min="5" max="6" style="1644" width="64.00390625" customWidth="1"/>
    <col min="7" max="7" style="1644" width="140.00390625" customWidth="1"/>
    <col min="8" max="8" style="1644" width="10.00390625" customWidth="1"/>
    <col min="9" max="10" style="1633" width="10.00390625" customWidth="1"/>
    <col min="11" max="16" style="1644" width="10.00390625" customWidth="1"/>
    <col min="17" max="17" style="1644" width="10.57421875" hidden="1"/>
  </cols>
  <sheetData>
    <row customHeight="1" ht="22.5" hidden="1">
      <c r="M1" s="264"/>
      <c r="N1" s="264"/>
      <c r="P1" s="264"/>
      <c r="Q1" s="92" t="s">
        <v>14</v>
      </c>
    </row>
    <row customHeight="1" ht="14.25" hidden="1">
      <c r="Q2" s="92">
        <v>0</v>
      </c>
    </row>
    <row customHeight="1" ht="14.25" hidden="1">
      <c r="Q3" s="92">
        <v>0</v>
      </c>
    </row>
    <row customHeight="1" ht="3">
      <c r="C4" s="105"/>
      <c r="D4" s="93"/>
      <c r="E4" s="93"/>
      <c r="F4" s="94"/>
      <c r="G4" s="94"/>
      <c r="Q4" s="92">
        <v>3</v>
      </c>
    </row>
    <row customHeight="1" ht="29.25">
      <c r="C5" s="105"/>
      <c r="D5" s="248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83"/>
      <c r="F5" s="2483"/>
      <c r="G5" s="2484"/>
      <c r="Q5" s="92">
        <v>28</v>
      </c>
    </row>
    <row s="1644" customFormat="1" customHeight="1" ht="18.75">
      <c r="A6" s="891"/>
      <c r="B6" s="426"/>
      <c r="C6" s="385"/>
      <c r="D6" s="2485" t="str">
        <f>IF(org=0,"Не определено",org)</f>
        <v>АО "ДГК"</v>
      </c>
      <c r="E6" s="2486"/>
      <c r="F6" s="2486"/>
      <c r="G6" s="2487"/>
      <c r="I6" s="509"/>
      <c r="J6" s="509"/>
      <c r="Q6" s="767">
        <v>18</v>
      </c>
    </row>
    <row customHeight="1" ht="14.699999999999998">
      <c r="C7" s="105"/>
      <c r="D7" s="93"/>
      <c r="E7" s="104"/>
      <c r="F7" s="761"/>
      <c r="G7" s="202"/>
      <c r="Q7" s="92">
        <v>14</v>
      </c>
    </row>
    <row s="1644" customFormat="1" customHeight="1" ht="1.05">
      <c r="A8" s="1677"/>
      <c r="B8" s="1169"/>
      <c r="C8" s="385"/>
      <c r="D8" s="372"/>
      <c r="E8" s="398"/>
      <c r="F8" s="761"/>
      <c r="G8" s="202"/>
      <c r="I8" s="1633"/>
      <c r="J8" s="1633"/>
      <c r="Q8" s="1640">
        <v>1</v>
      </c>
    </row>
    <row customHeight="1" ht="14.699999999999998">
      <c r="C9" s="105"/>
      <c r="D9" s="2237" t="s">
        <v>315</v>
      </c>
      <c r="E9" s="2237"/>
      <c r="F9" s="2237"/>
      <c r="G9" s="2417" t="s">
        <v>316</v>
      </c>
      <c r="Q9" s="92">
        <v>14</v>
      </c>
    </row>
    <row customHeight="1" ht="24">
      <c r="C10" s="105"/>
      <c r="D10" s="114" t="s">
        <v>89</v>
      </c>
      <c r="E10" s="117" t="s">
        <v>317</v>
      </c>
      <c r="F10" s="117" t="s">
        <v>405</v>
      </c>
      <c r="G10" s="2417"/>
      <c r="Q10" s="92">
        <v>23</v>
      </c>
    </row>
    <row customHeight="1" ht="12" hidden="1">
      <c r="C11" s="105"/>
      <c r="D11" s="96"/>
      <c r="E11" s="96"/>
      <c r="F11" s="96"/>
      <c r="G11" s="96"/>
      <c r="Q11" s="92">
        <v>0</v>
      </c>
    </row>
    <row customHeight="1" ht="65.25">
      <c r="A12" s="201"/>
      <c r="C12" s="105"/>
      <c r="D12" s="156">
        <v>1</v>
      </c>
      <c r="E12" s="206"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207" t="s">
        <v>321</v>
      </c>
      <c r="G12" s="160"/>
      <c r="Q12" s="92">
        <v>62</v>
      </c>
    </row>
    <row customHeight="1" ht="24">
      <c r="A13" s="201"/>
      <c r="C13" s="105"/>
      <c r="D13" s="156" t="s">
        <v>1328</v>
      </c>
      <c r="E13" s="203"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207" t="s">
        <v>321</v>
      </c>
      <c r="G13" s="160"/>
      <c r="Q13" s="92">
        <v>23</v>
      </c>
    </row>
    <row customHeight="1" ht="14.699999999999998">
      <c r="A14" s="201"/>
      <c r="C14" s="105"/>
      <c r="D14" s="156" t="s">
        <v>1364</v>
      </c>
      <c r="E14" s="204"/>
      <c r="F14" s="222"/>
      <c r="G14" s="21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92">
        <v>14</v>
      </c>
    </row>
    <row customHeight="1" ht="15.75">
      <c r="A15" s="201"/>
      <c r="C15" s="105"/>
      <c r="D15" s="118"/>
      <c r="E15" s="358" t="s">
        <v>1427</v>
      </c>
      <c r="F15" s="210"/>
      <c r="G15" s="2199"/>
      <c r="Q15" s="92">
        <v>15</v>
      </c>
    </row>
    <row customHeight="1" ht="14.699999999999998">
      <c r="A16" s="201"/>
      <c r="C16" s="105"/>
      <c r="D16" s="156" t="s">
        <v>1330</v>
      </c>
      <c r="E16" s="20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207" t="s">
        <v>321</v>
      </c>
      <c r="G16" s="346"/>
      <c r="Q16" s="92">
        <v>14</v>
      </c>
    </row>
    <row customHeight="1" ht="14.699999999999998">
      <c r="A17" s="201"/>
      <c r="C17" s="105"/>
      <c r="D17" s="156" t="s">
        <v>1372</v>
      </c>
      <c r="E17" s="204"/>
      <c r="F17" s="394"/>
      <c r="G17" s="21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92">
        <v>14</v>
      </c>
    </row>
    <row s="1644" customFormat="1" customHeight="1" ht="22.049999999999997">
      <c r="A18" s="352"/>
      <c r="B18" s="155"/>
      <c r="C18" s="316"/>
      <c r="D18" s="356"/>
      <c r="E18" s="358" t="s">
        <v>1428</v>
      </c>
      <c r="F18" s="347"/>
      <c r="G18" s="2199"/>
      <c r="I18" s="359"/>
      <c r="J18" s="359"/>
      <c r="Q18" s="351">
        <v>21</v>
      </c>
    </row>
    <row s="1644" customFormat="1" customHeight="1" ht="256.5">
      <c r="A19" s="352"/>
      <c r="B19" s="426"/>
      <c r="C19" s="385"/>
      <c r="D19" s="893" t="s">
        <v>1332</v>
      </c>
      <c r="E19" s="892" t="s">
        <v>1429</v>
      </c>
      <c r="F19" s="394"/>
      <c r="G19" s="346" t="s">
        <v>1430</v>
      </c>
      <c r="I19" s="509"/>
      <c r="J19" s="509"/>
      <c r="Q19" s="767">
        <v>0</v>
      </c>
    </row>
    <row s="1644" customFormat="1" customHeight="1" ht="14.699999999999998">
      <c r="A20" s="352"/>
      <c r="B20" s="155"/>
      <c r="C20" s="316"/>
      <c r="D20" s="894">
        <v>2</v>
      </c>
      <c r="E20" s="339" t="s">
        <v>1431</v>
      </c>
      <c r="F20" s="207" t="s">
        <v>321</v>
      </c>
      <c r="G20" s="346"/>
      <c r="I20" s="359"/>
      <c r="J20" s="359"/>
      <c r="Q20" s="351">
        <v>14</v>
      </c>
    </row>
    <row s="1644" customFormat="1" customHeight="1" ht="18.75" hidden="1">
      <c r="A21" s="352"/>
      <c r="B21" s="155"/>
      <c r="C21" s="316"/>
      <c r="D21" s="342" t="s">
        <v>659</v>
      </c>
      <c r="E21" s="341"/>
      <c r="F21" s="340"/>
      <c r="G21" s="350"/>
      <c r="H21" s="343"/>
      <c r="I21" s="359"/>
      <c r="J21" s="359"/>
      <c r="Q21" s="351">
        <v>0</v>
      </c>
    </row>
    <row customHeight="1" ht="15.75">
      <c r="A22" s="201"/>
      <c r="C22" s="105"/>
      <c r="D22" s="118"/>
      <c r="E22" s="212" t="s">
        <v>337</v>
      </c>
      <c r="F22" s="347"/>
      <c r="G22" s="348"/>
      <c r="Q22" s="92">
        <v>15</v>
      </c>
    </row>
    <row s="1644" customFormat="1" customHeight="1" ht="22.5" hidden="1">
      <c r="A23" s="352"/>
      <c r="B23" s="1169"/>
      <c r="C23" s="385"/>
      <c r="D23" s="1681" t="s">
        <v>103</v>
      </c>
      <c r="E23" s="206" t="s">
        <v>1432</v>
      </c>
      <c r="F23" s="1678" t="s">
        <v>321</v>
      </c>
      <c r="G23" s="354"/>
      <c r="I23" s="1633"/>
      <c r="J23" s="1633"/>
      <c r="Q23" s="1640">
        <v>0</v>
      </c>
    </row>
    <row s="1644" customFormat="1" customHeight="1" ht="14.25" hidden="1">
      <c r="A24" s="352"/>
      <c r="B24" s="1169"/>
      <c r="C24" s="385"/>
      <c r="D24" s="1681" t="s">
        <v>731</v>
      </c>
      <c r="E24" s="1680" t="s">
        <v>1433</v>
      </c>
      <c r="F24" s="1678" t="s">
        <v>321</v>
      </c>
      <c r="G24" s="346"/>
      <c r="I24" s="1633"/>
      <c r="J24" s="1633"/>
      <c r="Q24" s="1640">
        <v>0</v>
      </c>
    </row>
    <row s="1644" customFormat="1" customHeight="1" ht="14.25" hidden="1">
      <c r="A25" s="352"/>
      <c r="B25" s="1169"/>
      <c r="C25" s="385"/>
      <c r="D25" s="1681" t="s">
        <v>734</v>
      </c>
      <c r="E25" s="204"/>
      <c r="F25" s="394"/>
      <c r="G25" s="2197" t="s">
        <v>1434</v>
      </c>
      <c r="I25" s="1633"/>
      <c r="J25" s="1633"/>
      <c r="Q25" s="1640">
        <v>0</v>
      </c>
    </row>
    <row s="1644" customFormat="1" customHeight="1" ht="14.25" hidden="1">
      <c r="A26" s="352"/>
      <c r="B26" s="1169"/>
      <c r="C26" s="385"/>
      <c r="D26" s="356"/>
      <c r="E26" s="358" t="s">
        <v>1435</v>
      </c>
      <c r="F26" s="347"/>
      <c r="G26" s="2199"/>
      <c r="I26" s="1633"/>
      <c r="J26" s="1633"/>
      <c r="Q26" s="1640">
        <v>0</v>
      </c>
    </row>
    <row s="1644" customFormat="1" customHeight="1" ht="33.75" hidden="1">
      <c r="A27" s="352"/>
      <c r="B27" s="1375"/>
      <c r="C27" s="385"/>
      <c r="D27" s="2085" t="s">
        <v>91</v>
      </c>
      <c r="E27" s="206" t="s">
        <v>1436</v>
      </c>
      <c r="F27" s="2086" t="s">
        <v>321</v>
      </c>
      <c r="G27" s="1534"/>
      <c r="I27" s="1633"/>
      <c r="J27" s="1633"/>
      <c r="Q27" s="1640">
        <v>0</v>
      </c>
    </row>
    <row s="1644" customFormat="1" customHeight="1" ht="22.5" hidden="1">
      <c r="A28" s="352"/>
      <c r="B28" s="1375"/>
      <c r="C28" s="385"/>
      <c r="D28" s="2085" t="s">
        <v>339</v>
      </c>
      <c r="E28" s="2087" t="s">
        <v>1437</v>
      </c>
      <c r="F28" s="2086" t="s">
        <v>321</v>
      </c>
      <c r="G28" s="346"/>
      <c r="I28" s="1633"/>
      <c r="J28" s="1633"/>
      <c r="Q28" s="1640">
        <v>0</v>
      </c>
    </row>
    <row s="1644" customFormat="1" customHeight="1" ht="14.25" hidden="1">
      <c r="A29" s="352"/>
      <c r="B29" s="1375"/>
      <c r="C29" s="385"/>
      <c r="D29" s="2085" t="s">
        <v>341</v>
      </c>
      <c r="E29" s="2099"/>
      <c r="F29" s="671"/>
      <c r="G29" s="2197" t="s">
        <v>1438</v>
      </c>
      <c r="I29" s="1633"/>
      <c r="J29" s="1633"/>
      <c r="Q29" s="1640">
        <v>0</v>
      </c>
    </row>
    <row s="1644" customFormat="1" customHeight="1" ht="14.25" hidden="1">
      <c r="A30" s="352"/>
      <c r="B30" s="1375"/>
      <c r="C30" s="385"/>
      <c r="D30" s="356"/>
      <c r="E30" s="580" t="s">
        <v>1435</v>
      </c>
      <c r="F30" s="347"/>
      <c r="G30" s="2199"/>
      <c r="I30" s="1633"/>
      <c r="J30" s="1633"/>
      <c r="Q30" s="1640">
        <v>0</v>
      </c>
    </row>
    <row customHeight="1" ht="3">
      <c r="Q31" s="92">
        <v>3</v>
      </c>
    </row>
    <row customHeight="1" ht="14.699999999999998">
      <c r="D32" s="345"/>
      <c r="E32" s="344"/>
      <c r="F32" s="324"/>
      <c r="G32" s="324"/>
      <c r="H32" s="324"/>
      <c r="I32" s="324"/>
      <c r="J32" s="324"/>
      <c r="K32" s="324"/>
      <c r="L32" s="324"/>
      <c r="M32" s="324"/>
      <c r="N32" s="324"/>
      <c r="O32" s="324"/>
      <c r="P32" s="324"/>
      <c r="Q32" s="92">
        <v>14</v>
      </c>
    </row>
    <row customHeight="1" ht="14.699999999999998">
      <c r="D33" s="345"/>
      <c r="E33" s="591"/>
      <c r="Q33" s="92">
        <v>14</v>
      </c>
    </row>
    <row customHeight="1" ht="14.699999999999998">
      <c r="Q34" s="92">
        <v>14</v>
      </c>
    </row>
    <row customHeight="1" ht="14.699999999999998">
      <c r="E35" s="767"/>
      <c r="Q35" s="92">
        <v>14</v>
      </c>
    </row>
    <row customHeight="1" ht="22.5" hidden="1">
      <c r="A36" s="110" t="s">
        <v>83</v>
      </c>
      <c r="B36" s="155">
        <v>0</v>
      </c>
      <c r="C36" s="106">
        <v>3</v>
      </c>
      <c r="D36" s="92">
        <v>6</v>
      </c>
      <c r="E36" s="92">
        <v>64</v>
      </c>
      <c r="F36" s="92">
        <v>64</v>
      </c>
      <c r="G36" s="92">
        <v>140</v>
      </c>
      <c r="H36" s="92">
        <v>10</v>
      </c>
      <c r="I36" s="164">
        <v>10</v>
      </c>
      <c r="J36" s="164">
        <v>10</v>
      </c>
      <c r="K36" s="92">
        <v>10</v>
      </c>
      <c r="L36" s="92">
        <v>10</v>
      </c>
      <c r="M36" s="92">
        <v>10</v>
      </c>
      <c r="N36" s="92">
        <v>10</v>
      </c>
      <c r="O36" s="92">
        <v>10</v>
      </c>
      <c r="P36" s="92">
        <v>10</v>
      </c>
      <c r="Q36" s="92">
        <v>23</v>
      </c>
    </row>
  </sheetData>
  <sheetProtection sheet="1" formatColumns="0" formatRows="0" autoFilter="0" sort="1" insertRows="1" insertColumns="1" deleteRows="1" deleteColumns="1"/>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1E2ACB-6D25-35BD-950A-0.F1493C15}"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84" width="9.140625" hidden="1" customWidth="1"/>
    <col min="2" max="2" style="1375" width="9.140625" hidden="1" customWidth="1"/>
    <col min="3" max="3" style="353" width="3.00390625" customWidth="1"/>
    <col min="4" max="4" style="1644" width="6.00390625" customWidth="1"/>
    <col min="5" max="5" style="1644" width="63.00390625" customWidth="1"/>
    <col min="6" max="6" style="1644" width="1.7109375" hidden="1" customWidth="1"/>
    <col min="7" max="8" style="1644" width="35.00390625" customWidth="1"/>
    <col min="9" max="9" style="1644" width="91.00390625" customWidth="1"/>
    <col min="10" max="10" style="1644" width="68.00390625" customWidth="1"/>
    <col min="11" max="12" style="1633" width="10.00390625" customWidth="1"/>
    <col min="13" max="13" style="1644" width="10.57421875" hidden="1"/>
  </cols>
  <sheetData>
    <row customHeight="1" ht="22.5" hidden="1">
      <c r="M1" s="92" t="s">
        <v>14</v>
      </c>
    </row>
    <row s="1644" customFormat="1" customHeight="1" ht="18.75" hidden="1">
      <c r="A2" s="1691"/>
      <c r="B2" s="1169"/>
      <c r="C2" s="1738" t="s">
        <v>104</v>
      </c>
      <c r="D2" s="1681"/>
      <c r="E2" s="208"/>
      <c r="F2" s="1678"/>
      <c r="G2" s="1678" t="s">
        <v>321</v>
      </c>
      <c r="H2" s="1170"/>
      <c r="K2" s="1633"/>
      <c r="L2" s="1633"/>
      <c r="M2" s="1640">
        <v>0</v>
      </c>
    </row>
    <row s="1644" customFormat="1" customHeight="1" ht="14.25" hidden="1">
      <c r="A3" s="1371"/>
      <c r="B3" s="1169"/>
      <c r="C3" s="353"/>
      <c r="K3" s="1633"/>
      <c r="L3" s="1633"/>
      <c r="M3" s="1640">
        <v>0</v>
      </c>
    </row>
    <row s="1644" customFormat="1" customHeight="1" ht="18.75" hidden="1">
      <c r="A4" s="1691"/>
      <c r="B4" s="1169"/>
      <c r="C4" s="1738" t="s">
        <v>104</v>
      </c>
      <c r="D4" s="1681"/>
      <c r="E4" s="214" t="s">
        <v>1439</v>
      </c>
      <c r="F4" s="1678"/>
      <c r="G4" s="266"/>
      <c r="H4" s="1678" t="s">
        <v>321</v>
      </c>
      <c r="K4" s="1633"/>
      <c r="L4" s="1633"/>
      <c r="M4" s="1640">
        <v>0</v>
      </c>
    </row>
    <row s="1644" customFormat="1" customHeight="1" ht="14.25" hidden="1">
      <c r="A5" s="1371"/>
      <c r="B5" s="1169"/>
      <c r="C5" s="353"/>
      <c r="K5" s="1633"/>
      <c r="L5" s="1633"/>
      <c r="M5" s="1640">
        <v>0</v>
      </c>
    </row>
    <row s="1644" customFormat="1" customHeight="1" ht="18.75" hidden="1">
      <c r="A6" s="1691"/>
      <c r="B6" s="1169"/>
      <c r="C6" s="1738" t="s">
        <v>104</v>
      </c>
      <c r="D6" s="1681"/>
      <c r="E6" s="215" t="s">
        <v>1440</v>
      </c>
      <c r="F6" s="1678"/>
      <c r="G6" s="266"/>
      <c r="H6" s="1678" t="s">
        <v>321</v>
      </c>
      <c r="K6" s="1633"/>
      <c r="L6" s="1633"/>
      <c r="M6" s="1640">
        <v>0</v>
      </c>
    </row>
    <row s="1644" customFormat="1" customHeight="1" ht="14.25" hidden="1">
      <c r="A7" s="1371"/>
      <c r="B7" s="1169"/>
      <c r="C7" s="353"/>
      <c r="K7" s="1633"/>
      <c r="L7" s="1633"/>
      <c r="M7" s="1640">
        <v>0</v>
      </c>
    </row>
    <row s="1644" customFormat="1" customHeight="1" ht="18.75" hidden="1">
      <c r="A8" s="1691"/>
      <c r="B8" s="1169"/>
      <c r="C8" s="1738" t="s">
        <v>104</v>
      </c>
      <c r="D8" s="1681"/>
      <c r="E8" s="215" t="s">
        <v>1441</v>
      </c>
      <c r="F8" s="1678"/>
      <c r="G8" s="266"/>
      <c r="H8" s="1678" t="s">
        <v>321</v>
      </c>
      <c r="K8" s="1633"/>
      <c r="L8" s="1633"/>
      <c r="M8" s="1640">
        <v>0</v>
      </c>
    </row>
    <row s="1644" customFormat="1" customHeight="1" ht="14.25" hidden="1">
      <c r="A9" s="1371"/>
      <c r="B9" s="1169"/>
      <c r="C9" s="353"/>
      <c r="K9" s="1633"/>
      <c r="L9" s="1633"/>
      <c r="M9" s="1640">
        <v>0</v>
      </c>
    </row>
    <row s="1644" customFormat="1" customHeight="1" ht="18.75" hidden="1">
      <c r="A10" s="1691"/>
      <c r="B10" s="1169"/>
      <c r="C10" s="1738" t="s">
        <v>104</v>
      </c>
      <c r="D10" s="1681"/>
      <c r="E10" s="215" t="s">
        <v>1442</v>
      </c>
      <c r="F10" s="1678"/>
      <c r="G10" s="1682"/>
      <c r="H10" s="1678" t="s">
        <v>321</v>
      </c>
      <c r="K10" s="1633"/>
      <c r="L10" s="1633" t="s">
        <v>1443</v>
      </c>
      <c r="M10" s="1640">
        <v>0</v>
      </c>
    </row>
    <row customHeight="1" ht="14.25" hidden="1">
      <c r="M11" s="92">
        <v>0</v>
      </c>
    </row>
    <row customHeight="1" ht="14.25" hidden="1">
      <c r="M12" s="92">
        <v>0</v>
      </c>
    </row>
    <row customHeight="1" ht="14.699999999999998">
      <c r="C13" s="105"/>
      <c r="D13" s="93"/>
      <c r="E13" s="93"/>
      <c r="F13" s="93"/>
      <c r="G13" s="93"/>
      <c r="H13" s="94"/>
      <c r="I13" s="94"/>
      <c r="M13" s="92">
        <v>14</v>
      </c>
    </row>
    <row customHeight="1" ht="29.25">
      <c r="C14" s="105"/>
      <c r="D14" s="248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83"/>
      <c r="F14" s="2483"/>
      <c r="G14" s="2483"/>
      <c r="H14" s="2484"/>
      <c r="J14" s="1640"/>
      <c r="M14" s="92">
        <v>28</v>
      </c>
    </row>
    <row s="1644" customFormat="1" customHeight="1" ht="14.699999999999998">
      <c r="A15" s="1371"/>
      <c r="B15" s="1169"/>
      <c r="C15" s="385"/>
      <c r="D15" s="2485" t="str">
        <f>IF(org=0,"Не определено",org)</f>
        <v>АО "ДГК"</v>
      </c>
      <c r="E15" s="2486"/>
      <c r="F15" s="2486"/>
      <c r="G15" s="2486"/>
      <c r="H15" s="2487"/>
      <c r="J15" s="861"/>
      <c r="K15" s="1633"/>
      <c r="L15" s="1633"/>
      <c r="M15" s="1640">
        <v>14</v>
      </c>
    </row>
    <row customHeight="1" ht="14.699999999999998">
      <c r="C16" s="105"/>
      <c r="D16" s="93"/>
      <c r="E16" s="104"/>
      <c r="F16" s="104"/>
      <c r="G16" s="104"/>
      <c r="H16" s="761"/>
      <c r="I16" s="202"/>
      <c r="M16" s="92">
        <v>14</v>
      </c>
    </row>
    <row s="1644" customFormat="1" customHeight="1" ht="14.25" hidden="1">
      <c r="A17" s="1371"/>
      <c r="B17" s="1169"/>
      <c r="C17" s="385"/>
      <c r="D17" s="372"/>
      <c r="E17" s="398"/>
      <c r="F17" s="398"/>
      <c r="G17" s="398"/>
      <c r="H17" s="761"/>
      <c r="I17" s="202"/>
      <c r="K17" s="1633"/>
      <c r="L17" s="1633"/>
      <c r="M17" s="1640">
        <v>0</v>
      </c>
    </row>
    <row customHeight="1" ht="22.049999999999997">
      <c r="C18" s="105"/>
      <c r="D18" s="2237" t="s">
        <v>315</v>
      </c>
      <c r="E18" s="2237"/>
      <c r="F18" s="2237"/>
      <c r="G18" s="2237"/>
      <c r="H18" s="2237"/>
      <c r="I18" s="2417" t="s">
        <v>316</v>
      </c>
      <c r="M18" s="92">
        <v>21</v>
      </c>
    </row>
    <row customHeight="1" ht="22.049999999999997">
      <c r="C19" s="105"/>
      <c r="D19" s="114" t="s">
        <v>89</v>
      </c>
      <c r="E19" s="117" t="s">
        <v>317</v>
      </c>
      <c r="F19" s="117"/>
      <c r="G19" s="117" t="s">
        <v>318</v>
      </c>
      <c r="H19" s="117" t="s">
        <v>405</v>
      </c>
      <c r="I19" s="2417"/>
      <c r="M19" s="92">
        <v>21</v>
      </c>
    </row>
    <row customHeight="1" ht="12" hidden="1">
      <c r="C20" s="105"/>
      <c r="D20" s="96"/>
      <c r="E20" s="96"/>
      <c r="F20" s="96"/>
      <c r="G20" s="96"/>
      <c r="H20" s="96"/>
      <c r="I20" s="96"/>
      <c r="M20" s="92">
        <v>0</v>
      </c>
    </row>
    <row customHeight="1" ht="14.699999999999998">
      <c r="A21" s="1691"/>
      <c r="C21" s="105"/>
      <c r="D21" s="156">
        <v>1</v>
      </c>
      <c r="E21" s="2489" t="s">
        <v>1444</v>
      </c>
      <c r="F21" s="2489"/>
      <c r="G21" s="2489"/>
      <c r="H21" s="2489"/>
      <c r="I21" s="217"/>
      <c r="M21" s="92">
        <v>14</v>
      </c>
    </row>
    <row customHeight="1" ht="21">
      <c r="A22" s="1691"/>
      <c r="C22" s="105"/>
      <c r="D22" s="156" t="s">
        <v>1328</v>
      </c>
      <c r="E22" s="203" t="s">
        <v>1445</v>
      </c>
      <c r="F22" s="207"/>
      <c r="G22" s="1745"/>
      <c r="H22" s="207" t="s">
        <v>321</v>
      </c>
      <c r="I22" s="160" t="s">
        <v>1446</v>
      </c>
      <c r="M22" s="92">
        <v>20</v>
      </c>
    </row>
    <row customHeight="1" ht="60">
      <c r="A23" s="1691"/>
      <c r="C23" s="105"/>
      <c r="D23" s="156" t="s">
        <v>1330</v>
      </c>
      <c r="E23" s="203" t="s">
        <v>1447</v>
      </c>
      <c r="F23" s="207"/>
      <c r="G23" s="266"/>
      <c r="H23" s="222"/>
      <c r="I23" s="267" t="s">
        <v>1448</v>
      </c>
      <c r="M23" s="92">
        <v>57</v>
      </c>
    </row>
    <row customHeight="1" ht="14.699999999999998">
      <c r="A24" s="1691"/>
      <c r="B24" s="155">
        <v>3</v>
      </c>
      <c r="C24" s="105"/>
      <c r="D24" s="156">
        <v>2</v>
      </c>
      <c r="E24" s="23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207"/>
      <c r="G24" s="207" t="s">
        <v>321</v>
      </c>
      <c r="H24" s="222"/>
      <c r="I24" s="268" t="s">
        <v>654</v>
      </c>
      <c r="M24" s="92">
        <v>14</v>
      </c>
    </row>
    <row customHeight="1" ht="48.29999999999999">
      <c r="A25" s="1691"/>
      <c r="C25" s="105"/>
      <c r="D25" s="156">
        <v>3</v>
      </c>
      <c r="E25" s="24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88"/>
      <c r="G25" s="2488"/>
      <c r="H25" s="2488"/>
      <c r="I25" s="265"/>
      <c r="M25" s="92">
        <v>46</v>
      </c>
    </row>
    <row customHeight="1" ht="14.699999999999998">
      <c r="A26" s="1691"/>
      <c r="C26" s="105"/>
      <c r="D26" s="156" t="s">
        <v>339</v>
      </c>
      <c r="E26" s="208"/>
      <c r="F26" s="207"/>
      <c r="G26" s="207" t="s">
        <v>321</v>
      </c>
      <c r="H26" s="222"/>
      <c r="I26" s="2197" t="s">
        <v>1449</v>
      </c>
      <c r="M26" s="92">
        <v>14</v>
      </c>
    </row>
    <row customHeight="1" ht="15.75">
      <c r="A27" s="1691" t="s">
        <v>118</v>
      </c>
      <c r="C27" s="105"/>
      <c r="D27" s="118"/>
      <c r="E27" s="212" t="s">
        <v>337</v>
      </c>
      <c r="F27" s="213"/>
      <c r="G27" s="213"/>
      <c r="H27" s="210"/>
      <c r="I27" s="2199"/>
      <c r="M27" s="92">
        <v>15</v>
      </c>
    </row>
    <row customHeight="1" ht="39.75">
      <c r="A28" s="1691"/>
      <c r="B28" s="155">
        <v>3</v>
      </c>
      <c r="C28" s="105"/>
      <c r="D28" s="156">
        <v>4</v>
      </c>
      <c r="E28" s="24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88"/>
      <c r="G28" s="2488"/>
      <c r="H28" s="2488"/>
      <c r="I28" s="265"/>
      <c r="M28" s="92">
        <v>38</v>
      </c>
    </row>
    <row customHeight="1" ht="21">
      <c r="A29" s="1691"/>
      <c r="C29" s="105"/>
      <c r="D29" s="156" t="s">
        <v>782</v>
      </c>
      <c r="E29" s="214" t="s">
        <v>1439</v>
      </c>
      <c r="F29" s="207"/>
      <c r="G29" s="266"/>
      <c r="H29" s="207" t="s">
        <v>321</v>
      </c>
      <c r="I29" s="2197" t="s">
        <v>1450</v>
      </c>
      <c r="M29" s="92">
        <v>20</v>
      </c>
    </row>
    <row customHeight="1" ht="15.75">
      <c r="A30" s="1691" t="s">
        <v>103</v>
      </c>
      <c r="C30" s="105"/>
      <c r="D30" s="118"/>
      <c r="E30" s="212" t="s">
        <v>337</v>
      </c>
      <c r="F30" s="213"/>
      <c r="G30" s="213"/>
      <c r="H30" s="210"/>
      <c r="I30" s="2199"/>
      <c r="M30" s="92">
        <v>15</v>
      </c>
    </row>
    <row customHeight="1" ht="31.5">
      <c r="A31" s="1691"/>
      <c r="B31" s="155">
        <v>3</v>
      </c>
      <c r="C31" s="105"/>
      <c r="D31" s="156">
        <v>5</v>
      </c>
      <c r="E31" s="24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88"/>
      <c r="G31" s="2488"/>
      <c r="H31" s="2488"/>
      <c r="I31" s="265"/>
      <c r="M31" s="92">
        <v>30</v>
      </c>
    </row>
    <row customHeight="1" ht="27.299999999999997">
      <c r="A32" s="1691"/>
      <c r="C32" s="105"/>
      <c r="D32" s="156" t="s">
        <v>328</v>
      </c>
      <c r="E32" s="243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431"/>
      <c r="G32" s="2431"/>
      <c r="H32" s="2431"/>
      <c r="I32" s="265"/>
      <c r="M32" s="92">
        <v>26</v>
      </c>
    </row>
    <row customHeight="1" ht="14.699999999999998">
      <c r="A33" s="1691"/>
      <c r="C33" s="105"/>
      <c r="D33" s="156" t="s">
        <v>1451</v>
      </c>
      <c r="E33" s="215" t="s">
        <v>1440</v>
      </c>
      <c r="F33" s="207"/>
      <c r="G33" s="266"/>
      <c r="H33" s="207" t="s">
        <v>321</v>
      </c>
      <c r="I33" s="2197" t="s">
        <v>1452</v>
      </c>
      <c r="M33" s="92">
        <v>14</v>
      </c>
    </row>
    <row customHeight="1" ht="15.75">
      <c r="A34" s="1691" t="s">
        <v>91</v>
      </c>
      <c r="C34" s="105"/>
      <c r="D34" s="118"/>
      <c r="E34" s="213" t="s">
        <v>337</v>
      </c>
      <c r="F34" s="209"/>
      <c r="G34" s="209"/>
      <c r="H34" s="210"/>
      <c r="I34" s="2199"/>
      <c r="M34" s="92">
        <v>15</v>
      </c>
    </row>
    <row customHeight="1" ht="25.2">
      <c r="A35" s="1691"/>
      <c r="C35" s="105"/>
      <c r="D35" s="156" t="s">
        <v>925</v>
      </c>
      <c r="E35" s="243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431"/>
      <c r="G35" s="2431"/>
      <c r="H35" s="2431"/>
      <c r="I35" s="265"/>
      <c r="M35" s="92">
        <v>24</v>
      </c>
    </row>
    <row customHeight="1" ht="14.699999999999998">
      <c r="A36" s="1691"/>
      <c r="C36" s="105"/>
      <c r="D36" s="156" t="s">
        <v>1453</v>
      </c>
      <c r="E36" s="215" t="s">
        <v>1441</v>
      </c>
      <c r="F36" s="207"/>
      <c r="G36" s="266"/>
      <c r="H36" s="207" t="s">
        <v>321</v>
      </c>
      <c r="I36" s="2171" t="s">
        <v>1454</v>
      </c>
      <c r="M36" s="92">
        <v>14</v>
      </c>
    </row>
    <row customHeight="1" ht="15.75">
      <c r="A37" s="1691" t="s">
        <v>92</v>
      </c>
      <c r="C37" s="105"/>
      <c r="D37" s="118"/>
      <c r="E37" s="213" t="s">
        <v>337</v>
      </c>
      <c r="F37" s="209"/>
      <c r="G37" s="209"/>
      <c r="H37" s="210"/>
      <c r="I37" s="2171"/>
      <c r="M37" s="92">
        <v>15</v>
      </c>
    </row>
    <row customHeight="1" ht="27.299999999999997">
      <c r="A38" s="1691"/>
      <c r="C38" s="105"/>
      <c r="D38" s="156" t="s">
        <v>926</v>
      </c>
      <c r="E38" s="243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431"/>
      <c r="G38" s="2431"/>
      <c r="H38" s="2431"/>
      <c r="I38" s="265"/>
      <c r="M38" s="92">
        <v>26</v>
      </c>
    </row>
    <row customHeight="1" ht="14.699999999999998">
      <c r="A39" s="1691"/>
      <c r="C39" s="105"/>
      <c r="D39" s="156" t="s">
        <v>927</v>
      </c>
      <c r="E39" s="215" t="s">
        <v>1442</v>
      </c>
      <c r="F39" s="207"/>
      <c r="G39" s="216"/>
      <c r="H39" s="207" t="s">
        <v>321</v>
      </c>
      <c r="I39" s="2197" t="s">
        <v>1455</v>
      </c>
      <c r="L39" s="164" t="s">
        <v>1443</v>
      </c>
      <c r="M39" s="92">
        <v>14</v>
      </c>
    </row>
    <row customHeight="1" ht="15.75">
      <c r="A40" s="1691" t="s">
        <v>119</v>
      </c>
      <c r="C40" s="105"/>
      <c r="D40" s="118"/>
      <c r="E40" s="213" t="s">
        <v>337</v>
      </c>
      <c r="F40" s="209"/>
      <c r="G40" s="209"/>
      <c r="H40" s="210"/>
      <c r="I40" s="2199"/>
      <c r="M40" s="92">
        <v>15</v>
      </c>
    </row>
    <row s="1831" customFormat="1" customHeight="1" ht="3">
      <c r="A41" s="1691"/>
      <c r="K41" s="205"/>
      <c r="L41" s="205"/>
      <c r="M41" s="149">
        <v>3</v>
      </c>
    </row>
    <row customHeight="1" ht="26.25">
      <c r="D42" s="1689" t="s">
        <v>844</v>
      </c>
      <c r="E42" s="231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313"/>
      <c r="G42" s="2313"/>
      <c r="H42" s="2313"/>
      <c r="I42" s="2313"/>
      <c r="M42" s="92">
        <v>25</v>
      </c>
    </row>
    <row customHeight="1" ht="22.5" hidden="1">
      <c r="A43" s="1371" t="s">
        <v>83</v>
      </c>
      <c r="B43" s="155">
        <v>0</v>
      </c>
      <c r="C43" s="106">
        <v>3</v>
      </c>
      <c r="D43" s="92">
        <v>6</v>
      </c>
      <c r="E43" s="92">
        <v>63</v>
      </c>
      <c r="F43" s="92">
        <v>0</v>
      </c>
      <c r="G43" s="92">
        <v>35</v>
      </c>
      <c r="H43" s="92">
        <v>35</v>
      </c>
      <c r="I43" s="92">
        <v>91</v>
      </c>
      <c r="J43" s="92">
        <v>68</v>
      </c>
      <c r="K43" s="164">
        <v>10</v>
      </c>
      <c r="L43" s="164">
        <v>10</v>
      </c>
      <c r="M43" s="92">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480F84-66EF-093F-B71A-0.FBA7450C}"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7" width="25.140625" hidden="1" customWidth="1"/>
    <col min="3" max="3" style="1695" width="9.140625" hidden="1" customWidth="1"/>
    <col min="4" max="4" style="353" width="3.00390625" customWidth="1"/>
    <col min="5" max="5" style="1644" width="6.00390625" customWidth="1"/>
    <col min="6" max="6" style="1644" width="46.7109375" customWidth="1"/>
    <col min="7" max="7" style="1644" width="35.00390625" customWidth="1"/>
    <col min="8" max="8" style="1644" width="3.00390625" customWidth="1"/>
    <col min="9" max="10" style="1644" width="11.00390625" customWidth="1"/>
    <col min="11" max="12" style="1644" width="35.00390625" customWidth="1"/>
    <col min="13" max="13" style="1644" width="84.00390625" customWidth="1"/>
    <col min="14" max="14" style="1644" width="10.00390625" customWidth="1"/>
    <col min="15" max="16" style="1633" width="10.00390625" customWidth="1"/>
    <col min="17" max="33" style="1644" width="10.00390625" customWidth="1"/>
    <col min="34" max="34" style="1644" width="10.57421875" hidden="1"/>
  </cols>
  <sheetData>
    <row s="1644" customFormat="1" customHeight="1" ht="22.5" hidden="1">
      <c r="A1" s="1787"/>
      <c r="B1" s="1787"/>
      <c r="C1" s="378"/>
      <c r="D1" s="353"/>
      <c r="N1" s="1645">
        <f>_xlfn.IFERROR(MATCH("метод экономически обоснованных расходов (затрат)",OFFER_METHOD,0),0)</f>
        <v>0</v>
      </c>
      <c r="O1" s="1633"/>
      <c r="P1" s="1633"/>
      <c r="T1" s="840"/>
      <c r="AG1" s="264"/>
      <c r="AH1" s="1640" t="s">
        <v>14</v>
      </c>
    </row>
    <row s="1644" customFormat="1" customHeight="1" ht="18.75" hidden="1">
      <c r="A2" s="1788" t="s">
        <v>172</v>
      </c>
      <c r="B2" s="1788" t="s">
        <v>173</v>
      </c>
      <c r="C2" s="378"/>
      <c r="D2" s="353"/>
      <c r="E2" s="1040"/>
      <c r="F2" s="1040"/>
      <c r="G2" s="2455" t="str">
        <f>INDEX(PT_DIFFERENTIATION_NTAR,MATCH(B2,PT_DIFFERENTIATION_NTAR_ID,0))</f>
        <v/>
      </c>
      <c r="H2" s="1870"/>
      <c r="I2" s="1747"/>
      <c r="J2" s="1781"/>
      <c r="K2" s="1871"/>
      <c r="L2" s="1870" t="s">
        <v>321</v>
      </c>
      <c r="M2" s="1881"/>
      <c r="N2" s="343"/>
      <c r="O2" s="1633"/>
      <c r="P2" s="1633"/>
      <c r="AH2" s="1640">
        <v>0</v>
      </c>
    </row>
    <row s="1644" customFormat="1" customHeight="1" ht="18.75" hidden="1">
      <c r="A3" s="1788"/>
      <c r="B3" s="1788"/>
      <c r="C3" s="378" t="s">
        <v>1456</v>
      </c>
      <c r="D3" s="353"/>
      <c r="E3" s="1040"/>
      <c r="F3" s="1040"/>
      <c r="G3" s="2455"/>
      <c r="H3" s="1509"/>
      <c r="I3" s="660" t="s">
        <v>1457</v>
      </c>
      <c r="J3" s="580"/>
      <c r="K3" s="1509"/>
      <c r="L3" s="223"/>
      <c r="M3" s="1881"/>
      <c r="N3" s="343"/>
      <c r="O3" s="1633"/>
      <c r="P3" s="1633"/>
      <c r="AH3" s="1640">
        <v>0</v>
      </c>
    </row>
    <row s="1644" customFormat="1" customHeight="1" ht="14.25" hidden="1">
      <c r="A4" s="1787"/>
      <c r="B4" s="1787"/>
      <c r="C4" s="378"/>
      <c r="D4" s="353"/>
      <c r="N4" s="1645">
        <f>_xlfn.IFERROR(MATCH("метод экономически обоснованных расходов (затрат)",OFFER_METHOD,0),0)</f>
        <v>0</v>
      </c>
      <c r="O4" s="1633"/>
      <c r="P4" s="1633"/>
      <c r="T4" s="840"/>
      <c r="AG4" s="264"/>
      <c r="AH4" s="1640">
        <v>0</v>
      </c>
    </row>
    <row s="1644" customFormat="1" customHeight="1" ht="18.75" hidden="1">
      <c r="A5" s="1788" t="s">
        <v>172</v>
      </c>
      <c r="B5" s="1788" t="s">
        <v>173</v>
      </c>
      <c r="C5" s="378"/>
      <c r="D5" s="353"/>
      <c r="E5" s="1040"/>
      <c r="F5" s="1040"/>
      <c r="G5" s="2455" t="str">
        <f>INDEX(PT_DIFFERENTIATION_NTAR,MATCH(B5,PT_DIFFERENTIATION_NTAR_ID,0))</f>
        <v/>
      </c>
      <c r="H5" s="1870"/>
      <c r="I5" s="1747"/>
      <c r="J5" s="1781"/>
      <c r="K5" s="1786"/>
      <c r="L5" s="1870" t="s">
        <v>321</v>
      </c>
      <c r="M5" s="1881"/>
      <c r="N5" s="343"/>
      <c r="O5" s="1633"/>
      <c r="P5" s="1633"/>
      <c r="AH5" s="1640">
        <v>0</v>
      </c>
    </row>
    <row s="1644" customFormat="1" customHeight="1" ht="18.75" hidden="1">
      <c r="A6" s="1788"/>
      <c r="B6" s="1788"/>
      <c r="C6" s="378" t="s">
        <v>1458</v>
      </c>
      <c r="D6" s="353"/>
      <c r="E6" s="1040"/>
      <c r="F6" s="1040"/>
      <c r="G6" s="2455"/>
      <c r="H6" s="1509"/>
      <c r="I6" s="660" t="s">
        <v>1457</v>
      </c>
      <c r="J6" s="580"/>
      <c r="K6" s="1509"/>
      <c r="L6" s="223"/>
      <c r="M6" s="1881"/>
      <c r="N6" s="343"/>
      <c r="O6" s="1633"/>
      <c r="P6" s="1633"/>
      <c r="AH6" s="1640">
        <v>0</v>
      </c>
    </row>
    <row s="1644" customFormat="1" customHeight="1" ht="14.25" hidden="1">
      <c r="A7" s="1787"/>
      <c r="B7" s="1787"/>
      <c r="C7" s="378"/>
      <c r="D7" s="353"/>
      <c r="N7" s="1645">
        <f>_xlfn.IFERROR(MATCH("метод экономически обоснованных расходов (затрат)",OFFER_METHOD,0),0)</f>
        <v>0</v>
      </c>
      <c r="O7" s="1633"/>
      <c r="P7" s="1633"/>
      <c r="T7" s="840"/>
      <c r="AG7" s="264"/>
      <c r="AH7" s="1640">
        <v>0</v>
      </c>
    </row>
    <row s="1644" customFormat="1" customHeight="1" ht="56.25" hidden="1">
      <c r="A8" s="1788"/>
      <c r="B8" s="1788"/>
      <c r="C8" s="378"/>
      <c r="D8" s="353"/>
      <c r="E8" s="1040"/>
      <c r="F8" s="1040"/>
      <c r="G8" s="1040"/>
      <c r="H8" s="1779"/>
      <c r="I8" s="1747"/>
      <c r="J8" s="1781"/>
      <c r="K8" s="1871"/>
      <c r="L8" s="1779" t="s">
        <v>321</v>
      </c>
      <c r="M8" s="1881"/>
      <c r="N8" s="343"/>
      <c r="O8" s="1633"/>
      <c r="P8" s="1633"/>
      <c r="AH8" s="1640">
        <v>0</v>
      </c>
    </row>
    <row customHeight="1" ht="14.25" hidden="1">
      <c r="T9" s="406"/>
      <c r="AG9" s="264"/>
      <c r="AH9" s="383">
        <v>0</v>
      </c>
    </row>
    <row s="1644" customFormat="1" customHeight="1" ht="56.25" hidden="1">
      <c r="A10" s="1788"/>
      <c r="B10" s="1788"/>
      <c r="C10" s="378"/>
      <c r="D10" s="353"/>
      <c r="E10" s="1040"/>
      <c r="F10" s="1040"/>
      <c r="G10" s="1040"/>
      <c r="H10" s="1778"/>
      <c r="I10" s="1747"/>
      <c r="J10" s="1781"/>
      <c r="K10" s="1786"/>
      <c r="L10" s="1779" t="s">
        <v>321</v>
      </c>
      <c r="M10" s="1881"/>
      <c r="N10" s="343"/>
      <c r="O10" s="1633"/>
      <c r="P10" s="1633"/>
      <c r="AH10" s="1640">
        <v>0</v>
      </c>
    </row>
    <row customHeight="1" ht="14.25" hidden="1">
      <c r="AH11" s="383">
        <v>0</v>
      </c>
    </row>
    <row customHeight="1" ht="14.25" hidden="1">
      <c r="AH12" s="383">
        <v>0</v>
      </c>
    </row>
    <row customHeight="1" ht="6.3">
      <c r="D13" s="385"/>
      <c r="E13" s="372"/>
      <c r="F13" s="372"/>
      <c r="G13" s="372"/>
      <c r="H13" s="372"/>
      <c r="I13" s="372"/>
      <c r="J13" s="372"/>
      <c r="K13" s="372"/>
      <c r="L13" s="94"/>
      <c r="M13" s="94"/>
      <c r="AH13" s="383">
        <v>6</v>
      </c>
    </row>
    <row customHeight="1" ht="14.699999999999998">
      <c r="D14" s="385"/>
      <c r="E14" s="249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93"/>
      <c r="G14" s="2493"/>
      <c r="H14" s="2493"/>
      <c r="I14" s="2493"/>
      <c r="J14" s="2493"/>
      <c r="K14" s="2493"/>
      <c r="L14" s="2493"/>
      <c r="M14" s="229"/>
      <c r="AH14" s="383">
        <v>14</v>
      </c>
    </row>
    <row customHeight="1" ht="6.3">
      <c r="D15" s="385"/>
      <c r="E15" s="372"/>
      <c r="F15" s="398"/>
      <c r="G15" s="398"/>
      <c r="H15" s="398"/>
      <c r="I15" s="398"/>
      <c r="J15" s="398"/>
      <c r="K15" s="398"/>
      <c r="L15" s="331"/>
      <c r="M15" s="202"/>
      <c r="AH15" s="383">
        <v>6</v>
      </c>
    </row>
    <row customHeight="1" ht="24">
      <c r="D16" s="385"/>
      <c r="E16" s="372"/>
      <c r="F16" s="314" t="str">
        <f>"Дата подачи заявления об "&amp;IF(TITLE_DATE_PR_CHANGE="","утверждении","изменении")&amp;" тарифов"</f>
        <v>Дата подачи заявления об утверждении тарифов</v>
      </c>
      <c r="G16" s="2292" t="str">
        <f>IF(TITLE_DATE_PR_CHANGE="",IF(TITLE_DATE_PR="","",TITLE_DATE_PR),TITLE_DATE_PR_CHANGE)</f>
        <v/>
      </c>
      <c r="H16" s="2292"/>
      <c r="I16" s="2292"/>
      <c r="J16" s="2292"/>
      <c r="K16" s="2292"/>
      <c r="L16" s="2292"/>
      <c r="M16" s="407"/>
      <c r="N16" s="335"/>
      <c r="AH16" s="383">
        <v>23</v>
      </c>
    </row>
    <row customHeight="1" ht="24">
      <c r="D17" s="385"/>
      <c r="E17" s="372"/>
      <c r="F17" s="314" t="str">
        <f>"Номер подачи заявления об "&amp;IF(TITLE_DATE_PR_CHANGE="","утверждении","изменении")&amp;" тарифов"</f>
        <v>Номер подачи заявления об утверждении тарифов</v>
      </c>
      <c r="G17" s="2279" t="str">
        <f>IF(TITLE_NUMBER_PR_CHANGE="",IF(TITLE_NUMBER_PR="","",TITLE_NUMBER_PR),TITLE_NUMBER_PR_CHANGE)</f>
        <v/>
      </c>
      <c r="H17" s="2279"/>
      <c r="I17" s="2279"/>
      <c r="J17" s="2279"/>
      <c r="K17" s="2279"/>
      <c r="L17" s="2279"/>
      <c r="M17" s="407"/>
      <c r="N17" s="335"/>
      <c r="AH17" s="383">
        <v>23</v>
      </c>
    </row>
    <row customHeight="1" ht="14.699999999999998">
      <c r="D18" s="385"/>
      <c r="E18" s="372"/>
      <c r="F18" s="398"/>
      <c r="G18" s="398"/>
      <c r="H18" s="398"/>
      <c r="I18" s="398"/>
      <c r="J18" s="398"/>
      <c r="K18" s="398"/>
      <c r="L18" s="761"/>
      <c r="M18" s="202"/>
      <c r="AH18" s="383">
        <v>14</v>
      </c>
    </row>
    <row customHeight="1" ht="22.049999999999997">
      <c r="D19" s="385"/>
      <c r="E19" s="2237" t="s">
        <v>315</v>
      </c>
      <c r="F19" s="2237"/>
      <c r="G19" s="2237"/>
      <c r="H19" s="2237"/>
      <c r="I19" s="2237"/>
      <c r="J19" s="2237"/>
      <c r="K19" s="2237"/>
      <c r="L19" s="2237"/>
      <c r="M19" s="2417" t="s">
        <v>316</v>
      </c>
      <c r="AH19" s="383">
        <v>21</v>
      </c>
    </row>
    <row customHeight="1" ht="22.049999999999997">
      <c r="D20" s="385"/>
      <c r="E20" s="2305" t="s">
        <v>89</v>
      </c>
      <c r="F20" s="2252" t="s">
        <v>139</v>
      </c>
      <c r="G20" s="2252" t="s">
        <v>140</v>
      </c>
      <c r="H20" s="2414" t="s">
        <v>1459</v>
      </c>
      <c r="I20" s="2415"/>
      <c r="J20" s="2461"/>
      <c r="K20" s="2252" t="s">
        <v>318</v>
      </c>
      <c r="L20" s="2252" t="s">
        <v>405</v>
      </c>
      <c r="M20" s="2417"/>
      <c r="AH20" s="383">
        <v>21</v>
      </c>
    </row>
    <row customHeight="1" ht="22.049999999999997">
      <c r="D21" s="385"/>
      <c r="E21" s="2307"/>
      <c r="F21" s="2253"/>
      <c r="G21" s="2253"/>
      <c r="H21" s="2246" t="s">
        <v>1460</v>
      </c>
      <c r="I21" s="2248"/>
      <c r="J21" s="117" t="s">
        <v>1461</v>
      </c>
      <c r="K21" s="2253"/>
      <c r="L21" s="2253"/>
      <c r="M21" s="2417"/>
      <c r="AH21" s="383">
        <v>21</v>
      </c>
    </row>
    <row customHeight="1" ht="12.75">
      <c r="D22" s="385"/>
      <c r="E22" s="290"/>
      <c r="F22" s="290"/>
      <c r="G22" s="290"/>
      <c r="H22" s="2495"/>
      <c r="I22" s="2495"/>
      <c r="J22" s="290"/>
      <c r="K22" s="290"/>
      <c r="L22" s="290"/>
      <c r="M22" s="290"/>
      <c r="AH22" s="383">
        <v>12</v>
      </c>
    </row>
    <row customHeight="1" ht="19.95">
      <c r="A23" s="1788"/>
      <c r="B23" s="1788"/>
      <c r="D23" s="385"/>
      <c r="E23" s="1872" t="s">
        <v>118</v>
      </c>
      <c r="F23" s="2496" t="str">
        <f>"Предлагаемый метод регулирования"&amp;IF(TEMPLATE_SPHERE="HEAT"," в сфере "&amp;TEMPLATE_SPHERE_RUS,"")</f>
        <v>Предлагаемый метод регулирования в сфере теплоснабжения</v>
      </c>
      <c r="G23" s="2497"/>
      <c r="H23" s="2489"/>
      <c r="I23" s="2489"/>
      <c r="J23" s="2489"/>
      <c r="K23" s="2497" t="s">
        <v>321</v>
      </c>
      <c r="L23" s="2489"/>
      <c r="M23" s="1777"/>
      <c r="N23" s="343"/>
      <c r="AH23" s="383">
        <v>19</v>
      </c>
    </row>
    <row customHeight="1" ht="60.75" hidden="1">
      <c r="A24" s="1788" t="s">
        <v>172</v>
      </c>
      <c r="B24" s="1788" t="s">
        <v>173</v>
      </c>
      <c r="D24" s="2494"/>
      <c r="E24" s="2232"/>
      <c r="F24" s="24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55" t="str">
        <f>INDEX(PT_DIFFERENTIATION_NTAR,MATCH(B24,PT_DIFFERENTIATION_NTAR_ID,0))</f>
        <v/>
      </c>
      <c r="H24" s="1868"/>
      <c r="I24" s="1747"/>
      <c r="J24" s="1781"/>
      <c r="K24" s="1871"/>
      <c r="L24" s="1776" t="s">
        <v>321</v>
      </c>
      <c r="M24" s="2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43"/>
      <c r="AH24" s="383">
        <v>0</v>
      </c>
    </row>
    <row s="1644" customFormat="1" customHeight="1" ht="18.75" hidden="1">
      <c r="A25" s="1788"/>
      <c r="B25" s="1788"/>
      <c r="C25" s="378" t="s">
        <v>1456</v>
      </c>
      <c r="D25" s="2494"/>
      <c r="E25" s="2232"/>
      <c r="F25" s="2498"/>
      <c r="G25" s="2455"/>
      <c r="H25" s="1509"/>
      <c r="I25" s="660" t="s">
        <v>1457</v>
      </c>
      <c r="J25" s="580"/>
      <c r="K25" s="1509"/>
      <c r="L25" s="223"/>
      <c r="M25" s="2198"/>
      <c r="N25" s="343"/>
      <c r="O25" s="1633"/>
      <c r="P25" s="1633"/>
      <c r="AH25" s="1640">
        <v>0</v>
      </c>
    </row>
    <row customHeight="1" ht="0.75" hidden="1">
      <c r="A26" s="1788"/>
      <c r="B26" s="1788"/>
      <c r="C26" s="378" t="s">
        <v>1462</v>
      </c>
      <c r="D26" s="2494"/>
      <c r="E26" s="2232"/>
      <c r="F26" s="2411"/>
      <c r="G26" s="409"/>
      <c r="H26" s="1509"/>
      <c r="I26" s="404"/>
      <c r="J26" s="358"/>
      <c r="K26" s="1509"/>
      <c r="L26" s="210"/>
      <c r="M26" s="2198"/>
      <c r="N26" s="343"/>
      <c r="AH26" s="383">
        <v>0</v>
      </c>
    </row>
    <row s="1644" customFormat="1" customHeight="1" ht="45" hidden="1">
      <c r="A27" s="1788" t="s">
        <v>177</v>
      </c>
      <c r="B27" s="1788" t="s">
        <v>178</v>
      </c>
      <c r="C27" s="378"/>
      <c r="D27" s="2490"/>
      <c r="E27" s="2491"/>
      <c r="F27" s="2492" t="str">
        <f>INDEX(PT_DIFFERENTIATION_VTAR,MATCH(A27,PT_DIFFERENTIATION_VTAR_ID,0))</f>
        <v/>
      </c>
      <c r="G27" s="2455" t="str">
        <f>INDEX(PT_DIFFERENTIATION_NTAR,MATCH(B27,PT_DIFFERENTIATION_NTAR_ID,0))</f>
        <v/>
      </c>
      <c r="H27" s="1868"/>
      <c r="I27" s="1747"/>
      <c r="J27" s="1781"/>
      <c r="K27" s="1871"/>
      <c r="L27" s="1868" t="s">
        <v>321</v>
      </c>
      <c r="M27" s="2198"/>
      <c r="N27" s="343"/>
      <c r="O27" s="1633"/>
      <c r="P27" s="1633"/>
      <c r="AH27" s="1640">
        <v>0</v>
      </c>
    </row>
    <row s="1644" customFormat="1" customHeight="1" ht="18.75" hidden="1">
      <c r="A28" s="1788"/>
      <c r="B28" s="1788"/>
      <c r="C28" s="378" t="s">
        <v>1456</v>
      </c>
      <c r="D28" s="2490"/>
      <c r="E28" s="2491"/>
      <c r="F28" s="2492"/>
      <c r="G28" s="2455"/>
      <c r="H28" s="1509"/>
      <c r="I28" s="660" t="s">
        <v>1457</v>
      </c>
      <c r="J28" s="580"/>
      <c r="K28" s="1509"/>
      <c r="L28" s="223"/>
      <c r="M28" s="2198"/>
      <c r="N28" s="343"/>
      <c r="O28" s="1633"/>
      <c r="P28" s="1633"/>
      <c r="AH28" s="1640">
        <v>0</v>
      </c>
    </row>
    <row s="1644" customFormat="1" customHeight="1" ht="0.75" hidden="1">
      <c r="A29" s="1788"/>
      <c r="B29" s="1788"/>
      <c r="C29" s="378" t="s">
        <v>1462</v>
      </c>
      <c r="D29" s="2490"/>
      <c r="E29" s="2232"/>
      <c r="F29" s="2411"/>
      <c r="G29" s="409"/>
      <c r="H29" s="1509"/>
      <c r="I29" s="660"/>
      <c r="J29" s="580"/>
      <c r="K29" s="1509"/>
      <c r="L29" s="223"/>
      <c r="M29" s="2198"/>
      <c r="N29" s="343"/>
      <c r="O29" s="1633"/>
      <c r="P29" s="1633"/>
      <c r="AH29" s="1640">
        <v>0</v>
      </c>
    </row>
    <row s="1644" customFormat="1" customHeight="1" ht="45" hidden="1">
      <c r="A30" s="1788" t="s">
        <v>184</v>
      </c>
      <c r="B30" s="1788" t="s">
        <v>185</v>
      </c>
      <c r="C30" s="378"/>
      <c r="D30" s="2490"/>
      <c r="E30" s="2232"/>
      <c r="F30" s="241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55" t="str">
        <f>INDEX(PT_DIFFERENTIATION_NTAR,MATCH(B30,PT_DIFFERENTIATION_NTAR_ID,0))</f>
        <v/>
      </c>
      <c r="H30" s="1868"/>
      <c r="I30" s="1747"/>
      <c r="J30" s="1781"/>
      <c r="K30" s="1871"/>
      <c r="L30" s="1868" t="s">
        <v>321</v>
      </c>
      <c r="M30" s="2198"/>
      <c r="N30" s="343"/>
      <c r="O30" s="1633"/>
      <c r="P30" s="1633"/>
      <c r="AH30" s="1640">
        <v>0</v>
      </c>
    </row>
    <row s="1644" customFormat="1" customHeight="1" ht="18.75" hidden="1">
      <c r="A31" s="1788"/>
      <c r="B31" s="1788"/>
      <c r="C31" s="378" t="s">
        <v>1456</v>
      </c>
      <c r="D31" s="2490"/>
      <c r="E31" s="2232"/>
      <c r="F31" s="2411"/>
      <c r="G31" s="2455"/>
      <c r="H31" s="1509"/>
      <c r="I31" s="660" t="s">
        <v>1457</v>
      </c>
      <c r="J31" s="580"/>
      <c r="K31" s="1509"/>
      <c r="L31" s="223"/>
      <c r="M31" s="2198"/>
      <c r="N31" s="343"/>
      <c r="O31" s="1633"/>
      <c r="P31" s="1633"/>
      <c r="AH31" s="1640">
        <v>0</v>
      </c>
    </row>
    <row s="1644" customFormat="1" customHeight="1" ht="0.75" hidden="1">
      <c r="A32" s="1788"/>
      <c r="B32" s="1788"/>
      <c r="C32" s="378" t="s">
        <v>1462</v>
      </c>
      <c r="D32" s="2490"/>
      <c r="E32" s="2232"/>
      <c r="F32" s="2411"/>
      <c r="G32" s="409"/>
      <c r="H32" s="1509"/>
      <c r="I32" s="660"/>
      <c r="J32" s="580"/>
      <c r="K32" s="1509"/>
      <c r="L32" s="223"/>
      <c r="M32" s="2198"/>
      <c r="N32" s="343"/>
      <c r="O32" s="1633"/>
      <c r="P32" s="1633"/>
      <c r="AH32" s="1640">
        <v>0</v>
      </c>
    </row>
    <row s="1644" customFormat="1" customHeight="1" ht="45" hidden="1">
      <c r="A33" s="1788" t="s">
        <v>190</v>
      </c>
      <c r="B33" s="1788" t="s">
        <v>191</v>
      </c>
      <c r="C33" s="378"/>
      <c r="D33" s="2490"/>
      <c r="E33" s="2232"/>
      <c r="F33" s="241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55" t="str">
        <f>INDEX(PT_DIFFERENTIATION_NTAR,MATCH(B33,PT_DIFFERENTIATION_NTAR_ID,0))</f>
        <v/>
      </c>
      <c r="H33" s="1868"/>
      <c r="I33" s="1747"/>
      <c r="J33" s="1781"/>
      <c r="K33" s="1871"/>
      <c r="L33" s="1868" t="s">
        <v>321</v>
      </c>
      <c r="M33" s="2198"/>
      <c r="N33" s="343"/>
      <c r="O33" s="1633"/>
      <c r="P33" s="1633"/>
      <c r="AH33" s="1640">
        <v>0</v>
      </c>
    </row>
    <row s="1644" customFormat="1" customHeight="1" ht="18.75" hidden="1">
      <c r="A34" s="1788"/>
      <c r="B34" s="1788"/>
      <c r="C34" s="378" t="s">
        <v>1456</v>
      </c>
      <c r="D34" s="2490"/>
      <c r="E34" s="2232"/>
      <c r="F34" s="2411"/>
      <c r="G34" s="2455"/>
      <c r="H34" s="1509"/>
      <c r="I34" s="660" t="s">
        <v>1457</v>
      </c>
      <c r="J34" s="580"/>
      <c r="K34" s="1509"/>
      <c r="L34" s="223"/>
      <c r="M34" s="2198"/>
      <c r="N34" s="343"/>
      <c r="O34" s="1633"/>
      <c r="P34" s="1633"/>
      <c r="AH34" s="1640">
        <v>0</v>
      </c>
    </row>
    <row s="1644" customFormat="1" customHeight="1" ht="0.75" hidden="1">
      <c r="A35" s="1788"/>
      <c r="B35" s="1788"/>
      <c r="C35" s="378" t="s">
        <v>1462</v>
      </c>
      <c r="D35" s="2490"/>
      <c r="E35" s="2232"/>
      <c r="F35" s="2411"/>
      <c r="G35" s="409"/>
      <c r="H35" s="1509"/>
      <c r="I35" s="660"/>
      <c r="J35" s="580"/>
      <c r="K35" s="1509"/>
      <c r="L35" s="223"/>
      <c r="M35" s="2198"/>
      <c r="N35" s="343"/>
      <c r="O35" s="1633"/>
      <c r="P35" s="1633"/>
      <c r="AH35" s="1640">
        <v>0</v>
      </c>
    </row>
    <row s="1644" customFormat="1" customHeight="1" ht="18.75" hidden="1">
      <c r="A36" s="1788" t="s">
        <v>196</v>
      </c>
      <c r="B36" s="1788" t="s">
        <v>197</v>
      </c>
      <c r="C36" s="378"/>
      <c r="D36" s="2490"/>
      <c r="E36" s="2232"/>
      <c r="F36" s="2411" t="str">
        <f>INDEX(PT_DIFFERENTIATION_VTAR,MATCH(A36,PT_DIFFERENTIATION_VTAR_ID,0))</f>
        <v>Тарифы на услуги по передаче тепловой энергии</v>
      </c>
      <c r="G36" s="2455" t="str">
        <f>INDEX(PT_DIFFERENTIATION_NTAR,MATCH(B36,PT_DIFFERENTIATION_NTAR_ID,0))</f>
        <v/>
      </c>
      <c r="H36" s="1868"/>
      <c r="I36" s="1747"/>
      <c r="J36" s="1781"/>
      <c r="K36" s="1871"/>
      <c r="L36" s="1868" t="s">
        <v>321</v>
      </c>
      <c r="M36" s="2198"/>
      <c r="N36" s="343"/>
      <c r="O36" s="1633"/>
      <c r="P36" s="1633"/>
      <c r="AH36" s="1640">
        <v>0</v>
      </c>
    </row>
    <row s="1644" customFormat="1" customHeight="1" ht="18.75" hidden="1">
      <c r="A37" s="1788"/>
      <c r="B37" s="1788"/>
      <c r="C37" s="378" t="s">
        <v>1456</v>
      </c>
      <c r="D37" s="2490"/>
      <c r="E37" s="2232"/>
      <c r="F37" s="2411"/>
      <c r="G37" s="2455"/>
      <c r="H37" s="1509"/>
      <c r="I37" s="660" t="s">
        <v>1457</v>
      </c>
      <c r="J37" s="580"/>
      <c r="K37" s="1509"/>
      <c r="L37" s="223"/>
      <c r="M37" s="2198"/>
      <c r="N37" s="343"/>
      <c r="O37" s="1633"/>
      <c r="P37" s="1633"/>
      <c r="AH37" s="1640">
        <v>0</v>
      </c>
    </row>
    <row s="1644" customFormat="1" customHeight="1" ht="0.75" hidden="1">
      <c r="A38" s="1788"/>
      <c r="B38" s="1788"/>
      <c r="C38" s="378" t="s">
        <v>1462</v>
      </c>
      <c r="D38" s="2490"/>
      <c r="E38" s="2232"/>
      <c r="F38" s="2411"/>
      <c r="G38" s="409"/>
      <c r="H38" s="1509"/>
      <c r="I38" s="660"/>
      <c r="J38" s="580"/>
      <c r="K38" s="1509"/>
      <c r="L38" s="223"/>
      <c r="M38" s="2198"/>
      <c r="N38" s="343"/>
      <c r="O38" s="1633"/>
      <c r="P38" s="1633"/>
      <c r="AH38" s="1640">
        <v>0</v>
      </c>
    </row>
    <row s="1644" customFormat="1" customHeight="1" ht="18.75" hidden="1">
      <c r="A39" s="1788" t="s">
        <v>202</v>
      </c>
      <c r="B39" s="1788" t="s">
        <v>203</v>
      </c>
      <c r="C39" s="378"/>
      <c r="D39" s="2490"/>
      <c r="E39" s="2232"/>
      <c r="F39" s="2411" t="str">
        <f>INDEX(PT_DIFFERENTIATION_VTAR,MATCH(A39,PT_DIFFERENTIATION_VTAR_ID,0))</f>
        <v>Тарифы на услуги по передаче теплоносителя</v>
      </c>
      <c r="G39" s="2455" t="str">
        <f>INDEX(PT_DIFFERENTIATION_NTAR,MATCH(B39,PT_DIFFERENTIATION_NTAR_ID,0))</f>
        <v/>
      </c>
      <c r="H39" s="1868"/>
      <c r="I39" s="1747"/>
      <c r="J39" s="1781"/>
      <c r="K39" s="1871"/>
      <c r="L39" s="1868" t="s">
        <v>321</v>
      </c>
      <c r="M39" s="2198"/>
      <c r="N39" s="343"/>
      <c r="O39" s="1633"/>
      <c r="P39" s="1633"/>
      <c r="AH39" s="1640">
        <v>0</v>
      </c>
    </row>
    <row s="1644" customFormat="1" customHeight="1" ht="18.75" hidden="1">
      <c r="A40" s="1788"/>
      <c r="B40" s="1788"/>
      <c r="C40" s="378" t="s">
        <v>1456</v>
      </c>
      <c r="D40" s="2490"/>
      <c r="E40" s="2232"/>
      <c r="F40" s="2411"/>
      <c r="G40" s="2455"/>
      <c r="H40" s="1509"/>
      <c r="I40" s="660" t="s">
        <v>1457</v>
      </c>
      <c r="J40" s="580"/>
      <c r="K40" s="1509"/>
      <c r="L40" s="223"/>
      <c r="M40" s="2198"/>
      <c r="N40" s="343"/>
      <c r="O40" s="1633"/>
      <c r="P40" s="1633"/>
      <c r="AH40" s="1640">
        <v>0</v>
      </c>
    </row>
    <row s="1644" customFormat="1" customHeight="1" ht="0.75" hidden="1">
      <c r="A41" s="1788"/>
      <c r="B41" s="1788"/>
      <c r="C41" s="378" t="s">
        <v>1462</v>
      </c>
      <c r="D41" s="2490"/>
      <c r="E41" s="2232"/>
      <c r="F41" s="2411"/>
      <c r="G41" s="409"/>
      <c r="H41" s="1509"/>
      <c r="I41" s="660"/>
      <c r="J41" s="580"/>
      <c r="K41" s="1509"/>
      <c r="L41" s="223"/>
      <c r="M41" s="2198"/>
      <c r="N41" s="343"/>
      <c r="O41" s="1633"/>
      <c r="P41" s="1633"/>
      <c r="AH41" s="1640">
        <v>0</v>
      </c>
    </row>
    <row s="1644" customFormat="1" customHeight="1" ht="18.75" hidden="1">
      <c r="A42" s="1788" t="s">
        <v>208</v>
      </c>
      <c r="B42" s="1788" t="s">
        <v>209</v>
      </c>
      <c r="C42" s="378"/>
      <c r="D42" s="2490"/>
      <c r="E42" s="2232"/>
      <c r="F42" s="2411" t="str">
        <f>INDEX(PT_DIFFERENTIATION_VTAR,MATCH(A42,PT_DIFFERENTIATION_VTAR_ID,0))</f>
        <v>Плата за услуги по поддержанию резервной тепловой мощности при отсутствии потребления тепловой энергии</v>
      </c>
      <c r="G42" s="2455" t="str">
        <f>INDEX(PT_DIFFERENTIATION_NTAR,MATCH(B42,PT_DIFFERENTIATION_NTAR_ID,0))</f>
        <v/>
      </c>
      <c r="H42" s="1868"/>
      <c r="I42" s="1747"/>
      <c r="J42" s="1781"/>
      <c r="K42" s="1871"/>
      <c r="L42" s="1868" t="s">
        <v>321</v>
      </c>
      <c r="M42" s="2198"/>
      <c r="N42" s="343"/>
      <c r="O42" s="1633"/>
      <c r="P42" s="1633"/>
      <c r="AH42" s="1640">
        <v>0</v>
      </c>
    </row>
    <row s="1644" customFormat="1" customHeight="1" ht="18.75" hidden="1">
      <c r="A43" s="1788"/>
      <c r="B43" s="1788"/>
      <c r="C43" s="378" t="s">
        <v>1456</v>
      </c>
      <c r="D43" s="2490"/>
      <c r="E43" s="2232"/>
      <c r="F43" s="2411"/>
      <c r="G43" s="2455"/>
      <c r="H43" s="1509"/>
      <c r="I43" s="660" t="s">
        <v>1457</v>
      </c>
      <c r="J43" s="580"/>
      <c r="K43" s="1509"/>
      <c r="L43" s="223"/>
      <c r="M43" s="2198"/>
      <c r="N43" s="343"/>
      <c r="O43" s="1633"/>
      <c r="P43" s="1633"/>
      <c r="AH43" s="1640">
        <v>0</v>
      </c>
    </row>
    <row s="1644" customFormat="1" customHeight="1" ht="0.75" hidden="1">
      <c r="A44" s="1788"/>
      <c r="B44" s="1788"/>
      <c r="C44" s="378" t="s">
        <v>1462</v>
      </c>
      <c r="D44" s="2490"/>
      <c r="E44" s="2232"/>
      <c r="F44" s="2411"/>
      <c r="G44" s="409"/>
      <c r="H44" s="1509"/>
      <c r="I44" s="660"/>
      <c r="J44" s="580"/>
      <c r="K44" s="1509"/>
      <c r="L44" s="223"/>
      <c r="M44" s="2198"/>
      <c r="N44" s="343"/>
      <c r="O44" s="1633"/>
      <c r="P44" s="1633"/>
      <c r="AH44" s="1640">
        <v>0</v>
      </c>
    </row>
    <row s="1644" customFormat="1" customHeight="1" ht="18.75" hidden="1">
      <c r="A45" s="1788" t="s">
        <v>214</v>
      </c>
      <c r="B45" s="1788" t="s">
        <v>215</v>
      </c>
      <c r="C45" s="378"/>
      <c r="D45" s="2490"/>
      <c r="E45" s="2232"/>
      <c r="F45" s="2411" t="str">
        <f>INDEX(PT_DIFFERENTIATION_VTAR,MATCH(A45,PT_DIFFERENTIATION_VTAR_ID,0))</f>
        <v>Плата за подключение (технологическое присоединение) к системе теплоснабжения</v>
      </c>
      <c r="G45" s="2455" t="str">
        <f>INDEX(PT_DIFFERENTIATION_NTAR,MATCH(B45,PT_DIFFERENTIATION_NTAR_ID,0))</f>
        <v/>
      </c>
      <c r="H45" s="1868"/>
      <c r="I45" s="2640"/>
      <c r="J45" s="2641"/>
      <c r="K45" s="564"/>
      <c r="L45" s="1868" t="s">
        <v>321</v>
      </c>
      <c r="M45" s="2198"/>
      <c r="N45" s="343"/>
      <c r="O45" s="1633"/>
      <c r="P45" s="1633"/>
      <c r="AH45" s="1640">
        <v>0</v>
      </c>
    </row>
    <row s="1644" customFormat="1" customHeight="1" ht="18.75" hidden="1">
      <c r="A46" s="1788"/>
      <c r="B46" s="1788"/>
      <c r="C46" s="378" t="s">
        <v>1456</v>
      </c>
      <c r="D46" s="2490"/>
      <c r="E46" s="2232"/>
      <c r="F46" s="2411"/>
      <c r="G46" s="2455"/>
      <c r="H46" s="1509"/>
      <c r="I46" s="660" t="s">
        <v>1457</v>
      </c>
      <c r="J46" s="580"/>
      <c r="K46" s="1509"/>
      <c r="L46" s="223"/>
      <c r="M46" s="2198"/>
      <c r="N46" s="343"/>
      <c r="O46" s="1633"/>
      <c r="P46" s="1633"/>
      <c r="AH46" s="1640">
        <v>0</v>
      </c>
    </row>
    <row s="1644" customFormat="1" customHeight="1" ht="0.75" hidden="1">
      <c r="A47" s="1788"/>
      <c r="B47" s="1788"/>
      <c r="C47" s="378" t="s">
        <v>1462</v>
      </c>
      <c r="D47" s="2490"/>
      <c r="E47" s="2232"/>
      <c r="F47" s="2411"/>
      <c r="G47" s="409"/>
      <c r="H47" s="1509"/>
      <c r="I47" s="660"/>
      <c r="J47" s="580"/>
      <c r="K47" s="1509"/>
      <c r="L47" s="223"/>
      <c r="M47" s="2198"/>
      <c r="N47" s="343"/>
      <c r="O47" s="1633"/>
      <c r="P47" s="1633"/>
      <c r="AH47" s="1640">
        <v>0</v>
      </c>
    </row>
    <row s="1644" customFormat="1" customHeight="1" ht="18.75" hidden="1">
      <c r="A48" s="1788" t="s">
        <v>220</v>
      </c>
      <c r="B48" s="1788" t="s">
        <v>221</v>
      </c>
      <c r="C48" s="378"/>
      <c r="D48" s="2490"/>
      <c r="E48" s="2232"/>
      <c r="F48" s="2411" t="str">
        <f>INDEX(PT_DIFFERENTIATION_VTAR,MATCH(A48,PT_DIFFERENTIATION_VTAR_ID,0))</f>
        <v>Плата за подключение (технологическое присоединение) к системе теплоснабжения (индивидуальная)</v>
      </c>
      <c r="G48" s="2455" t="str">
        <f>INDEX(PT_DIFFERENTIATION_NTAR,MATCH(B48,PT_DIFFERENTIATION_NTAR_ID,0))</f>
        <v/>
      </c>
      <c r="H48" s="1995"/>
      <c r="I48" s="2640"/>
      <c r="J48" s="2641"/>
      <c r="K48" s="564"/>
      <c r="L48" s="1995" t="s">
        <v>321</v>
      </c>
      <c r="M48" s="2198"/>
      <c r="N48" s="343"/>
      <c r="O48" s="1633"/>
      <c r="P48" s="1633"/>
      <c r="AH48" s="1640">
        <v>0</v>
      </c>
    </row>
    <row s="1644" customFormat="1" customHeight="1" ht="18.75" hidden="1">
      <c r="A49" s="1788"/>
      <c r="B49" s="1788"/>
      <c r="C49" s="378" t="s">
        <v>1456</v>
      </c>
      <c r="D49" s="2490"/>
      <c r="E49" s="2232"/>
      <c r="F49" s="2411"/>
      <c r="G49" s="2455"/>
      <c r="H49" s="1509"/>
      <c r="I49" s="660" t="s">
        <v>1457</v>
      </c>
      <c r="J49" s="580"/>
      <c r="K49" s="1509"/>
      <c r="L49" s="223"/>
      <c r="M49" s="2198"/>
      <c r="N49" s="343"/>
      <c r="O49" s="1633"/>
      <c r="P49" s="1633"/>
      <c r="AH49" s="1640">
        <v>0</v>
      </c>
    </row>
    <row s="1644" customFormat="1" customHeight="1" ht="0.75" hidden="1">
      <c r="A50" s="1788"/>
      <c r="B50" s="1788"/>
      <c r="C50" s="378" t="s">
        <v>1462</v>
      </c>
      <c r="D50" s="2490"/>
      <c r="E50" s="2232"/>
      <c r="F50" s="2411"/>
      <c r="G50" s="409"/>
      <c r="H50" s="1509"/>
      <c r="I50" s="660"/>
      <c r="J50" s="580"/>
      <c r="K50" s="1509"/>
      <c r="L50" s="223"/>
      <c r="M50" s="2198"/>
      <c r="N50" s="343"/>
      <c r="O50" s="1633"/>
      <c r="P50" s="1633"/>
      <c r="AH50" s="1640">
        <v>0</v>
      </c>
    </row>
    <row s="1644" customFormat="1" customHeight="1" ht="18.75" hidden="1">
      <c r="A51" s="1788" t="s">
        <v>240</v>
      </c>
      <c r="B51" s="1788" t="s">
        <v>241</v>
      </c>
      <c r="C51" s="378"/>
      <c r="D51" s="2490"/>
      <c r="E51" s="2232"/>
      <c r="F51" s="2411" t="str">
        <f>INDEX(PT_DIFFERENTIATION_VTAR,MATCH(A51,PT_DIFFERENTIATION_VTAR_ID,0))</f>
        <v>Тариф на питьевую воду (питьевое водоснабжение)</v>
      </c>
      <c r="G51" s="2455" t="str">
        <f>INDEX(PT_DIFFERENTIATION_NTAR,MATCH(B51,PT_DIFFERENTIATION_NTAR_ID,0))</f>
        <v/>
      </c>
      <c r="H51" s="1868"/>
      <c r="I51" s="1747"/>
      <c r="J51" s="1781"/>
      <c r="K51" s="1871"/>
      <c r="L51" s="1868" t="s">
        <v>321</v>
      </c>
      <c r="M51" s="2198"/>
      <c r="N51" s="343"/>
      <c r="O51" s="1633"/>
      <c r="P51" s="1633"/>
      <c r="AH51" s="1640">
        <v>0</v>
      </c>
    </row>
    <row s="1644" customFormat="1" customHeight="1" ht="18.75" hidden="1">
      <c r="A52" s="1788"/>
      <c r="B52" s="1788"/>
      <c r="C52" s="378" t="s">
        <v>1456</v>
      </c>
      <c r="D52" s="2490"/>
      <c r="E52" s="2232"/>
      <c r="F52" s="2411"/>
      <c r="G52" s="2455"/>
      <c r="H52" s="1509"/>
      <c r="I52" s="660" t="s">
        <v>1457</v>
      </c>
      <c r="J52" s="580"/>
      <c r="K52" s="1509"/>
      <c r="L52" s="223"/>
      <c r="M52" s="2198"/>
      <c r="N52" s="343"/>
      <c r="O52" s="1633"/>
      <c r="P52" s="1633"/>
      <c r="AH52" s="1640">
        <v>0</v>
      </c>
    </row>
    <row s="1644" customFormat="1" customHeight="1" ht="0.75" hidden="1">
      <c r="A53" s="1788"/>
      <c r="B53" s="1788"/>
      <c r="C53" s="378" t="s">
        <v>1462</v>
      </c>
      <c r="D53" s="2490"/>
      <c r="E53" s="2232"/>
      <c r="F53" s="2411"/>
      <c r="G53" s="409"/>
      <c r="H53" s="1509"/>
      <c r="I53" s="660"/>
      <c r="J53" s="580"/>
      <c r="K53" s="1509"/>
      <c r="L53" s="223"/>
      <c r="M53" s="2198"/>
      <c r="N53" s="343"/>
      <c r="O53" s="1633"/>
      <c r="P53" s="1633"/>
      <c r="AH53" s="1640">
        <v>0</v>
      </c>
    </row>
    <row s="1644" customFormat="1" customHeight="1" ht="18.75" hidden="1">
      <c r="A54" s="1788" t="s">
        <v>245</v>
      </c>
      <c r="B54" s="1788" t="s">
        <v>246</v>
      </c>
      <c r="C54" s="378"/>
      <c r="D54" s="2490"/>
      <c r="E54" s="2232"/>
      <c r="F54" s="2411" t="str">
        <f>INDEX(PT_DIFFERENTIATION_VTAR,MATCH(A54,PT_DIFFERENTIATION_VTAR_ID,0))</f>
        <v>Тариф на техническую воду</v>
      </c>
      <c r="G54" s="2455" t="str">
        <f>INDEX(PT_DIFFERENTIATION_NTAR,MATCH(B54,PT_DIFFERENTIATION_NTAR_ID,0))</f>
        <v/>
      </c>
      <c r="H54" s="1868"/>
      <c r="I54" s="1747"/>
      <c r="J54" s="1781"/>
      <c r="K54" s="1871"/>
      <c r="L54" s="1868" t="s">
        <v>321</v>
      </c>
      <c r="M54" s="2198"/>
      <c r="N54" s="343"/>
      <c r="O54" s="1633"/>
      <c r="P54" s="1633"/>
      <c r="AH54" s="1640">
        <v>0</v>
      </c>
    </row>
    <row s="1644" customFormat="1" customHeight="1" ht="18.75" hidden="1">
      <c r="A55" s="1788"/>
      <c r="B55" s="1788"/>
      <c r="C55" s="378" t="s">
        <v>1456</v>
      </c>
      <c r="D55" s="2490"/>
      <c r="E55" s="2232"/>
      <c r="F55" s="2411"/>
      <c r="G55" s="2455"/>
      <c r="H55" s="1509"/>
      <c r="I55" s="660" t="s">
        <v>1457</v>
      </c>
      <c r="J55" s="580"/>
      <c r="K55" s="1509"/>
      <c r="L55" s="223"/>
      <c r="M55" s="2198"/>
      <c r="N55" s="343"/>
      <c r="O55" s="1633"/>
      <c r="P55" s="1633"/>
      <c r="AH55" s="1640">
        <v>0</v>
      </c>
    </row>
    <row s="1644" customFormat="1" customHeight="1" ht="0.75" hidden="1">
      <c r="A56" s="1788"/>
      <c r="B56" s="1788"/>
      <c r="C56" s="378" t="s">
        <v>1462</v>
      </c>
      <c r="D56" s="2490"/>
      <c r="E56" s="2232"/>
      <c r="F56" s="2411"/>
      <c r="G56" s="409"/>
      <c r="H56" s="1509"/>
      <c r="I56" s="660"/>
      <c r="J56" s="580"/>
      <c r="K56" s="1509"/>
      <c r="L56" s="223"/>
      <c r="M56" s="2198"/>
      <c r="N56" s="343"/>
      <c r="O56" s="1633"/>
      <c r="P56" s="1633"/>
      <c r="AH56" s="1640">
        <v>0</v>
      </c>
    </row>
    <row s="1644" customFormat="1" customHeight="1" ht="18.75" hidden="1">
      <c r="A57" s="1788" t="s">
        <v>250</v>
      </c>
      <c r="B57" s="1788" t="s">
        <v>251</v>
      </c>
      <c r="C57" s="378"/>
      <c r="D57" s="2490"/>
      <c r="E57" s="2232"/>
      <c r="F57" s="2411" t="str">
        <f>INDEX(PT_DIFFERENTIATION_VTAR,MATCH(A57,PT_DIFFERENTIATION_VTAR_ID,0))</f>
        <v>Тариф на транспортировку воды</v>
      </c>
      <c r="G57" s="2455" t="str">
        <f>INDEX(PT_DIFFERENTIATION_NTAR,MATCH(B57,PT_DIFFERENTIATION_NTAR_ID,0))</f>
        <v/>
      </c>
      <c r="H57" s="1868"/>
      <c r="I57" s="1747"/>
      <c r="J57" s="1781"/>
      <c r="K57" s="1871"/>
      <c r="L57" s="1868" t="s">
        <v>321</v>
      </c>
      <c r="M57" s="2198"/>
      <c r="N57" s="343"/>
      <c r="O57" s="1633"/>
      <c r="P57" s="1633"/>
      <c r="AH57" s="1640">
        <v>0</v>
      </c>
    </row>
    <row s="1644" customFormat="1" customHeight="1" ht="18.75" hidden="1">
      <c r="A58" s="1788"/>
      <c r="B58" s="1788"/>
      <c r="C58" s="378" t="s">
        <v>1456</v>
      </c>
      <c r="D58" s="2490"/>
      <c r="E58" s="2232"/>
      <c r="F58" s="2411"/>
      <c r="G58" s="2455"/>
      <c r="H58" s="1509"/>
      <c r="I58" s="660" t="s">
        <v>1457</v>
      </c>
      <c r="J58" s="580"/>
      <c r="K58" s="1509"/>
      <c r="L58" s="223"/>
      <c r="M58" s="2198"/>
      <c r="N58" s="343"/>
      <c r="O58" s="1633"/>
      <c r="P58" s="1633"/>
      <c r="AH58" s="1640">
        <v>0</v>
      </c>
    </row>
    <row s="1644" customFormat="1" customHeight="1" ht="0.75" hidden="1">
      <c r="A59" s="1788"/>
      <c r="B59" s="1788"/>
      <c r="C59" s="378" t="s">
        <v>1462</v>
      </c>
      <c r="D59" s="2490"/>
      <c r="E59" s="2232"/>
      <c r="F59" s="2411"/>
      <c r="G59" s="409"/>
      <c r="H59" s="1509"/>
      <c r="I59" s="660"/>
      <c r="J59" s="580"/>
      <c r="K59" s="1509"/>
      <c r="L59" s="223"/>
      <c r="M59" s="2198"/>
      <c r="N59" s="343"/>
      <c r="O59" s="1633"/>
      <c r="P59" s="1633"/>
      <c r="AH59" s="1640">
        <v>0</v>
      </c>
    </row>
    <row s="1644" customFormat="1" customHeight="1" ht="18.75" hidden="1">
      <c r="A60" s="1788" t="s">
        <v>255</v>
      </c>
      <c r="B60" s="1788" t="s">
        <v>256</v>
      </c>
      <c r="C60" s="378"/>
      <c r="D60" s="2490"/>
      <c r="E60" s="2232"/>
      <c r="F60" s="2411" t="str">
        <f>INDEX(PT_DIFFERENTIATION_VTAR,MATCH(A60,PT_DIFFERENTIATION_VTAR_ID,0))</f>
        <v>Тариф на подвоз воды</v>
      </c>
      <c r="G60" s="2455" t="str">
        <f>INDEX(PT_DIFFERENTIATION_NTAR,MATCH(B60,PT_DIFFERENTIATION_NTAR_ID,0))</f>
        <v/>
      </c>
      <c r="H60" s="1868"/>
      <c r="I60" s="1747"/>
      <c r="J60" s="1781"/>
      <c r="K60" s="1871"/>
      <c r="L60" s="1868" t="s">
        <v>321</v>
      </c>
      <c r="M60" s="2198"/>
      <c r="N60" s="343"/>
      <c r="O60" s="1633"/>
      <c r="P60" s="1633"/>
      <c r="AH60" s="1640">
        <v>0</v>
      </c>
    </row>
    <row s="1644" customFormat="1" customHeight="1" ht="18.75" hidden="1">
      <c r="A61" s="1788"/>
      <c r="B61" s="1788"/>
      <c r="C61" s="378" t="s">
        <v>1456</v>
      </c>
      <c r="D61" s="2490"/>
      <c r="E61" s="2232"/>
      <c r="F61" s="2411"/>
      <c r="G61" s="2455"/>
      <c r="H61" s="1509"/>
      <c r="I61" s="660" t="s">
        <v>1457</v>
      </c>
      <c r="J61" s="580"/>
      <c r="K61" s="1509"/>
      <c r="L61" s="223"/>
      <c r="M61" s="2198"/>
      <c r="N61" s="343"/>
      <c r="O61" s="1633"/>
      <c r="P61" s="1633"/>
      <c r="AH61" s="1640">
        <v>0</v>
      </c>
    </row>
    <row s="1644" customFormat="1" customHeight="1" ht="0.75" hidden="1">
      <c r="A62" s="1788"/>
      <c r="B62" s="1788"/>
      <c r="C62" s="378" t="s">
        <v>1462</v>
      </c>
      <c r="D62" s="2490"/>
      <c r="E62" s="2232"/>
      <c r="F62" s="2411"/>
      <c r="G62" s="409"/>
      <c r="H62" s="1509"/>
      <c r="I62" s="660"/>
      <c r="J62" s="580"/>
      <c r="K62" s="1509"/>
      <c r="L62" s="223"/>
      <c r="M62" s="2198"/>
      <c r="N62" s="343"/>
      <c r="O62" s="1633"/>
      <c r="P62" s="1633"/>
      <c r="AH62" s="1640">
        <v>0</v>
      </c>
    </row>
    <row s="1644" customFormat="1" customHeight="1" ht="18.75" hidden="1">
      <c r="A63" s="1788" t="s">
        <v>260</v>
      </c>
      <c r="B63" s="1788" t="s">
        <v>261</v>
      </c>
      <c r="C63" s="378"/>
      <c r="D63" s="2490"/>
      <c r="E63" s="2232"/>
      <c r="F63" s="241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55" t="str">
        <f>INDEX(PT_DIFFERENTIATION_NTAR,MATCH(B63,PT_DIFFERENTIATION_NTAR_ID,0))</f>
        <v/>
      </c>
      <c r="H63" s="1868"/>
      <c r="I63" s="2640"/>
      <c r="J63" s="2641"/>
      <c r="K63" s="564"/>
      <c r="L63" s="1868" t="s">
        <v>321</v>
      </c>
      <c r="M63" s="2198"/>
      <c r="N63" s="343"/>
      <c r="O63" s="1633"/>
      <c r="P63" s="1633"/>
      <c r="AH63" s="1640">
        <v>0</v>
      </c>
    </row>
    <row s="1644" customFormat="1" customHeight="1" ht="18.75" hidden="1">
      <c r="A64" s="1788"/>
      <c r="B64" s="1788"/>
      <c r="C64" s="378" t="s">
        <v>1456</v>
      </c>
      <c r="D64" s="2490"/>
      <c r="E64" s="2232"/>
      <c r="F64" s="2411"/>
      <c r="G64" s="2455"/>
      <c r="H64" s="1509"/>
      <c r="I64" s="660" t="s">
        <v>1457</v>
      </c>
      <c r="J64" s="580"/>
      <c r="K64" s="1509"/>
      <c r="L64" s="223"/>
      <c r="M64" s="2198"/>
      <c r="N64" s="343"/>
      <c r="O64" s="1633"/>
      <c r="P64" s="1633"/>
      <c r="AH64" s="1640">
        <v>0</v>
      </c>
    </row>
    <row s="1644" customFormat="1" customHeight="1" ht="0.75" hidden="1">
      <c r="A65" s="1788"/>
      <c r="B65" s="1788"/>
      <c r="C65" s="378" t="s">
        <v>1462</v>
      </c>
      <c r="D65" s="2490"/>
      <c r="E65" s="2232"/>
      <c r="F65" s="2411"/>
      <c r="G65" s="409"/>
      <c r="H65" s="1509"/>
      <c r="I65" s="660"/>
      <c r="J65" s="580"/>
      <c r="K65" s="1509"/>
      <c r="L65" s="223"/>
      <c r="M65" s="2198"/>
      <c r="N65" s="343"/>
      <c r="O65" s="1633"/>
      <c r="P65" s="1633"/>
      <c r="AH65" s="1640">
        <v>0</v>
      </c>
    </row>
    <row s="1644" customFormat="1" customHeight="1" ht="18.75" hidden="1">
      <c r="A66" s="1788" t="s">
        <v>265</v>
      </c>
      <c r="B66" s="1788" t="s">
        <v>266</v>
      </c>
      <c r="C66" s="378"/>
      <c r="D66" s="2490"/>
      <c r="E66" s="2232"/>
      <c r="F66" s="2411" t="str">
        <f>INDEX(PT_DIFFERENTIATION_VTAR,MATCH(A66,PT_DIFFERENTIATION_VTAR_ID,0))</f>
        <v>Тариф на горячую воду (горячее водоснабжение)</v>
      </c>
      <c r="G66" s="2455" t="str">
        <f>INDEX(PT_DIFFERENTIATION_NTAR,MATCH(B66,PT_DIFFERENTIATION_NTAR_ID,0))</f>
        <v/>
      </c>
      <c r="H66" s="1868"/>
      <c r="I66" s="1747"/>
      <c r="J66" s="1781"/>
      <c r="K66" s="1871"/>
      <c r="L66" s="1868" t="s">
        <v>321</v>
      </c>
      <c r="M66" s="2198"/>
      <c r="N66" s="343"/>
      <c r="O66" s="1633"/>
      <c r="P66" s="1633"/>
      <c r="AH66" s="1640">
        <v>0</v>
      </c>
    </row>
    <row s="1644" customFormat="1" customHeight="1" ht="18.75" hidden="1">
      <c r="A67" s="1788"/>
      <c r="B67" s="1788"/>
      <c r="C67" s="378" t="s">
        <v>1456</v>
      </c>
      <c r="D67" s="2490"/>
      <c r="E67" s="2232"/>
      <c r="F67" s="2411"/>
      <c r="G67" s="2455"/>
      <c r="H67" s="1509"/>
      <c r="I67" s="660" t="s">
        <v>1457</v>
      </c>
      <c r="J67" s="580"/>
      <c r="K67" s="1509"/>
      <c r="L67" s="223"/>
      <c r="M67" s="2198"/>
      <c r="N67" s="343"/>
      <c r="O67" s="1633"/>
      <c r="P67" s="1633"/>
      <c r="AH67" s="1640">
        <v>0</v>
      </c>
    </row>
    <row s="1644" customFormat="1" customHeight="1" ht="0.75" hidden="1">
      <c r="A68" s="1788"/>
      <c r="B68" s="1788"/>
      <c r="C68" s="378" t="s">
        <v>1462</v>
      </c>
      <c r="D68" s="2490"/>
      <c r="E68" s="2232"/>
      <c r="F68" s="2411"/>
      <c r="G68" s="409"/>
      <c r="H68" s="1509"/>
      <c r="I68" s="660"/>
      <c r="J68" s="580"/>
      <c r="K68" s="1509"/>
      <c r="L68" s="223"/>
      <c r="M68" s="2198"/>
      <c r="N68" s="343"/>
      <c r="O68" s="1633"/>
      <c r="P68" s="1633"/>
      <c r="AH68" s="1640">
        <v>0</v>
      </c>
    </row>
    <row s="1644" customFormat="1" customHeight="1" ht="18.75" hidden="1">
      <c r="A69" s="1788" t="s">
        <v>270</v>
      </c>
      <c r="B69" s="1788" t="s">
        <v>271</v>
      </c>
      <c r="C69" s="378"/>
      <c r="D69" s="2490"/>
      <c r="E69" s="2232"/>
      <c r="F69" s="2411" t="str">
        <f>INDEX(PT_DIFFERENTIATION_VTAR,MATCH(A69,PT_DIFFERENTIATION_VTAR_ID,0))</f>
        <v>Тариф на транспортировку горячей воды</v>
      </c>
      <c r="G69" s="2455" t="str">
        <f>INDEX(PT_DIFFERENTIATION_NTAR,MATCH(B69,PT_DIFFERENTIATION_NTAR_ID,0))</f>
        <v/>
      </c>
      <c r="H69" s="1868"/>
      <c r="I69" s="1747"/>
      <c r="J69" s="1781"/>
      <c r="K69" s="1871"/>
      <c r="L69" s="1868" t="s">
        <v>321</v>
      </c>
      <c r="M69" s="2198"/>
      <c r="N69" s="343"/>
      <c r="O69" s="1633"/>
      <c r="P69" s="1633"/>
      <c r="AH69" s="1640">
        <v>0</v>
      </c>
    </row>
    <row s="1644" customFormat="1" customHeight="1" ht="18.75" hidden="1">
      <c r="A70" s="1788"/>
      <c r="B70" s="1788"/>
      <c r="C70" s="378" t="s">
        <v>1456</v>
      </c>
      <c r="D70" s="2490"/>
      <c r="E70" s="2232"/>
      <c r="F70" s="2411"/>
      <c r="G70" s="2455"/>
      <c r="H70" s="1509"/>
      <c r="I70" s="660" t="s">
        <v>1457</v>
      </c>
      <c r="J70" s="580"/>
      <c r="K70" s="1509"/>
      <c r="L70" s="223"/>
      <c r="M70" s="2198"/>
      <c r="N70" s="343"/>
      <c r="O70" s="1633"/>
      <c r="P70" s="1633"/>
      <c r="AH70" s="1640">
        <v>0</v>
      </c>
    </row>
    <row s="1644" customFormat="1" customHeight="1" ht="0.75" hidden="1">
      <c r="A71" s="1788"/>
      <c r="B71" s="1788"/>
      <c r="C71" s="378" t="s">
        <v>1462</v>
      </c>
      <c r="D71" s="2490"/>
      <c r="E71" s="2232"/>
      <c r="F71" s="2411"/>
      <c r="G71" s="409"/>
      <c r="H71" s="1509"/>
      <c r="I71" s="660"/>
      <c r="J71" s="580"/>
      <c r="K71" s="1509"/>
      <c r="L71" s="223"/>
      <c r="M71" s="2198"/>
      <c r="N71" s="343"/>
      <c r="O71" s="1633"/>
      <c r="P71" s="1633"/>
      <c r="AH71" s="1640">
        <v>0</v>
      </c>
    </row>
    <row s="1644" customFormat="1" customHeight="1" ht="18.75" hidden="1">
      <c r="A72" s="1788" t="s">
        <v>275</v>
      </c>
      <c r="B72" s="1788" t="s">
        <v>276</v>
      </c>
      <c r="C72" s="378"/>
      <c r="D72" s="2490"/>
      <c r="E72" s="2232"/>
      <c r="F72" s="2411" t="str">
        <f>INDEX(PT_DIFFERENTIATION_VTAR,MATCH(A72,PT_DIFFERENTIATION_VTAR_ID,0))</f>
        <v>Тариф на подключение (технологическое присоединение) к централизованной системе горячего водоснабжения</v>
      </c>
      <c r="G72" s="2455" t="str">
        <f>INDEX(PT_DIFFERENTIATION_NTAR,MATCH(B72,PT_DIFFERENTIATION_NTAR_ID,0))</f>
        <v/>
      </c>
      <c r="H72" s="1868"/>
      <c r="I72" s="2640"/>
      <c r="J72" s="2641"/>
      <c r="K72" s="564"/>
      <c r="L72" s="1868" t="s">
        <v>321</v>
      </c>
      <c r="M72" s="2198"/>
      <c r="N72" s="343"/>
      <c r="O72" s="1633"/>
      <c r="P72" s="1633"/>
      <c r="AH72" s="1640">
        <v>0</v>
      </c>
    </row>
    <row s="1644" customFormat="1" customHeight="1" ht="18.75" hidden="1">
      <c r="A73" s="1788"/>
      <c r="B73" s="1788"/>
      <c r="C73" s="378" t="s">
        <v>1456</v>
      </c>
      <c r="D73" s="2490"/>
      <c r="E73" s="2232"/>
      <c r="F73" s="2411"/>
      <c r="G73" s="2455"/>
      <c r="H73" s="1509"/>
      <c r="I73" s="660" t="s">
        <v>1457</v>
      </c>
      <c r="J73" s="580"/>
      <c r="K73" s="1509"/>
      <c r="L73" s="223"/>
      <c r="M73" s="2198"/>
      <c r="N73" s="343"/>
      <c r="O73" s="1633"/>
      <c r="P73" s="1633"/>
      <c r="AH73" s="1640">
        <v>0</v>
      </c>
    </row>
    <row s="1644" customFormat="1" customHeight="1" ht="0.75" hidden="1">
      <c r="A74" s="1788"/>
      <c r="B74" s="1788"/>
      <c r="C74" s="378" t="s">
        <v>1462</v>
      </c>
      <c r="D74" s="2490"/>
      <c r="E74" s="2232"/>
      <c r="F74" s="2411"/>
      <c r="G74" s="409"/>
      <c r="H74" s="1509"/>
      <c r="I74" s="660"/>
      <c r="J74" s="580"/>
      <c r="K74" s="1509"/>
      <c r="L74" s="223"/>
      <c r="M74" s="2198"/>
      <c r="N74" s="343"/>
      <c r="O74" s="1633"/>
      <c r="P74" s="1633"/>
      <c r="AH74" s="1640">
        <v>0</v>
      </c>
    </row>
    <row s="1644" customFormat="1" customHeight="1" ht="18.75" hidden="1">
      <c r="A75" s="1788" t="s">
        <v>280</v>
      </c>
      <c r="B75" s="1788" t="s">
        <v>281</v>
      </c>
      <c r="C75" s="378"/>
      <c r="D75" s="2490"/>
      <c r="E75" s="2232"/>
      <c r="F75" s="2411" t="str">
        <f>INDEX(PT_DIFFERENTIATION_VTAR,MATCH(A75,PT_DIFFERENTIATION_VTAR_ID,0))</f>
        <v>Тариф на водоотведение</v>
      </c>
      <c r="G75" s="2455" t="str">
        <f>INDEX(PT_DIFFERENTIATION_NTAR,MATCH(B75,PT_DIFFERENTIATION_NTAR_ID,0))</f>
        <v/>
      </c>
      <c r="H75" s="1868"/>
      <c r="I75" s="1747"/>
      <c r="J75" s="1781"/>
      <c r="K75" s="1871"/>
      <c r="L75" s="1868" t="s">
        <v>321</v>
      </c>
      <c r="M75" s="2198"/>
      <c r="N75" s="343"/>
      <c r="O75" s="1633"/>
      <c r="P75" s="1633"/>
      <c r="AH75" s="1640">
        <v>0</v>
      </c>
    </row>
    <row s="1644" customFormat="1" customHeight="1" ht="18.75" hidden="1">
      <c r="A76" s="1788"/>
      <c r="B76" s="1788"/>
      <c r="C76" s="378" t="s">
        <v>1456</v>
      </c>
      <c r="D76" s="2490"/>
      <c r="E76" s="2232"/>
      <c r="F76" s="2411"/>
      <c r="G76" s="2455"/>
      <c r="H76" s="1509"/>
      <c r="I76" s="660" t="s">
        <v>1457</v>
      </c>
      <c r="J76" s="580"/>
      <c r="K76" s="1509"/>
      <c r="L76" s="223"/>
      <c r="M76" s="2198"/>
      <c r="N76" s="343"/>
      <c r="O76" s="1633"/>
      <c r="P76" s="1633"/>
      <c r="AH76" s="1640">
        <v>0</v>
      </c>
    </row>
    <row s="1644" customFormat="1" customHeight="1" ht="0.75" hidden="1">
      <c r="A77" s="1788"/>
      <c r="B77" s="1788"/>
      <c r="C77" s="378" t="s">
        <v>1462</v>
      </c>
      <c r="D77" s="2490"/>
      <c r="E77" s="2232"/>
      <c r="F77" s="2411"/>
      <c r="G77" s="409"/>
      <c r="H77" s="1509"/>
      <c r="I77" s="660"/>
      <c r="J77" s="580"/>
      <c r="K77" s="1509"/>
      <c r="L77" s="223"/>
      <c r="M77" s="2198"/>
      <c r="N77" s="343"/>
      <c r="O77" s="1633"/>
      <c r="P77" s="1633"/>
      <c r="AH77" s="1640">
        <v>0</v>
      </c>
    </row>
    <row s="1644" customFormat="1" customHeight="1" ht="18.75" hidden="1">
      <c r="A78" s="1788" t="s">
        <v>285</v>
      </c>
      <c r="B78" s="1788" t="s">
        <v>286</v>
      </c>
      <c r="C78" s="378"/>
      <c r="D78" s="2490"/>
      <c r="E78" s="2232"/>
      <c r="F78" s="2411" t="str">
        <f>INDEX(PT_DIFFERENTIATION_VTAR,MATCH(A78,PT_DIFFERENTIATION_VTAR_ID,0))</f>
        <v>Тариф на транспортировку сточных вод</v>
      </c>
      <c r="G78" s="2455" t="str">
        <f>INDEX(PT_DIFFERENTIATION_NTAR,MATCH(B78,PT_DIFFERENTIATION_NTAR_ID,0))</f>
        <v/>
      </c>
      <c r="H78" s="1868"/>
      <c r="I78" s="1747"/>
      <c r="J78" s="1781"/>
      <c r="K78" s="1871"/>
      <c r="L78" s="1868" t="s">
        <v>321</v>
      </c>
      <c r="M78" s="2198"/>
      <c r="N78" s="343"/>
      <c r="O78" s="1633"/>
      <c r="P78" s="1633"/>
      <c r="AH78" s="1640">
        <v>0</v>
      </c>
    </row>
    <row s="1644" customFormat="1" customHeight="1" ht="18.75" hidden="1">
      <c r="A79" s="1788"/>
      <c r="B79" s="1788"/>
      <c r="C79" s="378" t="s">
        <v>1456</v>
      </c>
      <c r="D79" s="2490"/>
      <c r="E79" s="2232"/>
      <c r="F79" s="2411"/>
      <c r="G79" s="2455"/>
      <c r="H79" s="1509"/>
      <c r="I79" s="660" t="s">
        <v>1457</v>
      </c>
      <c r="J79" s="580"/>
      <c r="K79" s="1509"/>
      <c r="L79" s="223"/>
      <c r="M79" s="2198"/>
      <c r="N79" s="343"/>
      <c r="O79" s="1633"/>
      <c r="P79" s="1633"/>
      <c r="AH79" s="1640">
        <v>0</v>
      </c>
    </row>
    <row s="1644" customFormat="1" customHeight="1" ht="0.75" hidden="1">
      <c r="A80" s="1788"/>
      <c r="B80" s="1788"/>
      <c r="C80" s="378" t="s">
        <v>1462</v>
      </c>
      <c r="D80" s="2490"/>
      <c r="E80" s="2232"/>
      <c r="F80" s="2411"/>
      <c r="G80" s="409"/>
      <c r="H80" s="1509"/>
      <c r="I80" s="660"/>
      <c r="J80" s="580"/>
      <c r="K80" s="1509"/>
      <c r="L80" s="223"/>
      <c r="M80" s="2198"/>
      <c r="N80" s="343"/>
      <c r="O80" s="1633"/>
      <c r="P80" s="1633"/>
      <c r="AH80" s="1640">
        <v>0</v>
      </c>
    </row>
    <row s="1644" customFormat="1" customHeight="1" ht="18.75" hidden="1">
      <c r="A81" s="1788" t="s">
        <v>290</v>
      </c>
      <c r="B81" s="1788" t="s">
        <v>291</v>
      </c>
      <c r="C81" s="378"/>
      <c r="D81" s="2490"/>
      <c r="E81" s="2232"/>
      <c r="F81" s="2411" t="str">
        <f>INDEX(PT_DIFFERENTIATION_VTAR,MATCH(A81,PT_DIFFERENTIATION_VTAR_ID,0))</f>
        <v>Тариф на подключение (технологическое присоединение) к централизованной системе водоотведения</v>
      </c>
      <c r="G81" s="2455" t="str">
        <f>INDEX(PT_DIFFERENTIATION_NTAR,MATCH(B81,PT_DIFFERENTIATION_NTAR_ID,0))</f>
        <v/>
      </c>
      <c r="H81" s="1868"/>
      <c r="I81" s="2640"/>
      <c r="J81" s="2641"/>
      <c r="K81" s="564"/>
      <c r="L81" s="1868" t="s">
        <v>321</v>
      </c>
      <c r="M81" s="2198"/>
      <c r="N81" s="343"/>
      <c r="O81" s="1633"/>
      <c r="P81" s="1633"/>
      <c r="AH81" s="1640">
        <v>0</v>
      </c>
    </row>
    <row s="1644" customFormat="1" customHeight="1" ht="18.75" hidden="1">
      <c r="A82" s="1788"/>
      <c r="B82" s="1788"/>
      <c r="C82" s="378" t="s">
        <v>1456</v>
      </c>
      <c r="D82" s="2490"/>
      <c r="E82" s="2232"/>
      <c r="F82" s="2411"/>
      <c r="G82" s="2455"/>
      <c r="H82" s="1509"/>
      <c r="I82" s="660" t="s">
        <v>1457</v>
      </c>
      <c r="J82" s="580"/>
      <c r="K82" s="1509"/>
      <c r="L82" s="223"/>
      <c r="M82" s="2198"/>
      <c r="N82" s="343"/>
      <c r="O82" s="1633"/>
      <c r="P82" s="1633"/>
      <c r="AH82" s="1640">
        <v>0</v>
      </c>
    </row>
    <row s="1644" customFormat="1" customHeight="1" ht="1.05">
      <c r="A83" s="1788"/>
      <c r="B83" s="1788"/>
      <c r="C83" s="378" t="s">
        <v>1462</v>
      </c>
      <c r="D83" s="2490"/>
      <c r="E83" s="2232"/>
      <c r="F83" s="2411"/>
      <c r="G83" s="409"/>
      <c r="H83" s="1509"/>
      <c r="I83" s="660"/>
      <c r="J83" s="580"/>
      <c r="K83" s="1509"/>
      <c r="L83" s="223"/>
      <c r="M83" s="2198"/>
      <c r="N83" s="343"/>
      <c r="O83" s="1633"/>
      <c r="P83" s="1633"/>
      <c r="AH83" s="1640">
        <v>1</v>
      </c>
    </row>
    <row customHeight="1" ht="19.95">
      <c r="A84" s="1788"/>
      <c r="B84" s="1788"/>
      <c r="D84" s="385"/>
      <c r="E84" s="156" t="s">
        <v>103</v>
      </c>
      <c r="F84" s="24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88"/>
      <c r="H84" s="2488"/>
      <c r="I84" s="2488"/>
      <c r="J84" s="2488"/>
      <c r="K84" s="2488"/>
      <c r="L84" s="2488"/>
      <c r="M84" s="306"/>
      <c r="N84" s="343"/>
      <c r="AH84" s="383">
        <v>19</v>
      </c>
    </row>
    <row customHeight="1" ht="35.699999999999996">
      <c r="A85" s="1788"/>
      <c r="B85" s="1788"/>
      <c r="D85" s="385"/>
      <c r="E85" s="408"/>
      <c r="F85" s="207" t="s">
        <v>321</v>
      </c>
      <c r="G85" s="207" t="s">
        <v>321</v>
      </c>
      <c r="H85" s="2246" t="s">
        <v>321</v>
      </c>
      <c r="I85" s="2248"/>
      <c r="J85" s="207" t="s">
        <v>321</v>
      </c>
      <c r="K85" s="207" t="s">
        <v>321</v>
      </c>
      <c r="L85" s="410"/>
      <c r="M85" s="354" t="s">
        <v>1463</v>
      </c>
      <c r="N85" s="343"/>
      <c r="AH85" s="383">
        <v>34</v>
      </c>
    </row>
    <row customHeight="1" ht="19.95">
      <c r="A86" s="1788"/>
      <c r="B86" s="1788"/>
      <c r="D86" s="385"/>
      <c r="E86" s="156" t="s">
        <v>91</v>
      </c>
      <c r="F86" s="2488" t="s">
        <v>1464</v>
      </c>
      <c r="G86" s="2488"/>
      <c r="H86" s="2488"/>
      <c r="I86" s="2488"/>
      <c r="J86" s="2488"/>
      <c r="K86" s="2488"/>
      <c r="L86" s="2488"/>
      <c r="M86" s="306"/>
      <c r="N86" s="343"/>
      <c r="AH86" s="383">
        <v>19</v>
      </c>
    </row>
    <row s="1644" customFormat="1" customHeight="1" ht="60.75" hidden="1">
      <c r="A87" s="1788" t="s">
        <v>172</v>
      </c>
      <c r="B87" s="1788" t="s">
        <v>173</v>
      </c>
      <c r="C87" s="378"/>
      <c r="D87" s="2490"/>
      <c r="E87" s="2232"/>
      <c r="F87" s="241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55" t="str">
        <f>INDEX(PT_DIFFERENTIATION_NTAR,MATCH(B87,PT_DIFFERENTIATION_NTAR_ID,0))</f>
        <v/>
      </c>
      <c r="H87" s="1868"/>
      <c r="I87" s="1747"/>
      <c r="J87" s="1781"/>
      <c r="K87" s="1786"/>
      <c r="L87" s="1868" t="s">
        <v>321</v>
      </c>
      <c r="M87" s="2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43"/>
      <c r="O87" s="1633"/>
      <c r="P87" s="1633"/>
      <c r="AH87" s="1640">
        <v>0</v>
      </c>
    </row>
    <row s="1644" customFormat="1" customHeight="1" ht="18.75" hidden="1">
      <c r="A88" s="1788"/>
      <c r="B88" s="1788"/>
      <c r="C88" s="378" t="s">
        <v>1458</v>
      </c>
      <c r="D88" s="2490"/>
      <c r="E88" s="2232"/>
      <c r="F88" s="2411"/>
      <c r="G88" s="2455"/>
      <c r="H88" s="1509"/>
      <c r="I88" s="660" t="s">
        <v>1457</v>
      </c>
      <c r="J88" s="580"/>
      <c r="K88" s="1509"/>
      <c r="L88" s="223"/>
      <c r="M88" s="2198"/>
      <c r="N88" s="343"/>
      <c r="O88" s="1633"/>
      <c r="P88" s="1633"/>
      <c r="AH88" s="1640">
        <v>0</v>
      </c>
    </row>
    <row s="1644" customFormat="1" customHeight="1" ht="0.75" hidden="1">
      <c r="A89" s="1788"/>
      <c r="B89" s="1788"/>
      <c r="C89" s="378" t="s">
        <v>1465</v>
      </c>
      <c r="D89" s="2490"/>
      <c r="E89" s="2232"/>
      <c r="F89" s="2411"/>
      <c r="G89" s="409"/>
      <c r="H89" s="1509"/>
      <c r="I89" s="660"/>
      <c r="J89" s="580"/>
      <c r="K89" s="1509"/>
      <c r="L89" s="223"/>
      <c r="M89" s="2198"/>
      <c r="N89" s="343"/>
      <c r="O89" s="1633"/>
      <c r="P89" s="1633"/>
      <c r="AH89" s="1640">
        <v>0</v>
      </c>
    </row>
    <row s="1644" customFormat="1" customHeight="1" ht="45" hidden="1">
      <c r="A90" s="1788" t="s">
        <v>177</v>
      </c>
      <c r="B90" s="1788" t="s">
        <v>178</v>
      </c>
      <c r="C90" s="378"/>
      <c r="D90" s="2490"/>
      <c r="E90" s="2232"/>
      <c r="F90" s="2411" t="str">
        <f>INDEX(PT_DIFFERENTIATION_VTAR,MATCH(A90,PT_DIFFERENTIATION_VTAR_ID,0))</f>
        <v/>
      </c>
      <c r="G90" s="2455" t="str">
        <f>INDEX(PT_DIFFERENTIATION_NTAR,MATCH(B90,PT_DIFFERENTIATION_NTAR_ID,0))</f>
        <v/>
      </c>
      <c r="H90" s="1868"/>
      <c r="I90" s="1747"/>
      <c r="J90" s="1781"/>
      <c r="K90" s="1786"/>
      <c r="L90" s="1868" t="s">
        <v>321</v>
      </c>
      <c r="M90" s="2199"/>
      <c r="N90" s="343"/>
      <c r="O90" s="1633"/>
      <c r="P90" s="1633"/>
      <c r="AH90" s="1640">
        <v>0</v>
      </c>
    </row>
    <row s="1644" customFormat="1" customHeight="1" ht="18.75" hidden="1">
      <c r="A91" s="1788"/>
      <c r="B91" s="1788"/>
      <c r="C91" s="378" t="s">
        <v>1458</v>
      </c>
      <c r="D91" s="2490"/>
      <c r="E91" s="2232"/>
      <c r="F91" s="2411"/>
      <c r="G91" s="2455"/>
      <c r="H91" s="1509"/>
      <c r="I91" s="660" t="s">
        <v>1457</v>
      </c>
      <c r="J91" s="580"/>
      <c r="K91" s="1509"/>
      <c r="L91" s="223"/>
      <c r="M91" s="1867"/>
      <c r="N91" s="343"/>
      <c r="O91" s="1633"/>
      <c r="P91" s="1633"/>
      <c r="AH91" s="1640">
        <v>0</v>
      </c>
    </row>
    <row s="1644" customFormat="1" customHeight="1" ht="0.75" hidden="1">
      <c r="A92" s="1788"/>
      <c r="B92" s="1788"/>
      <c r="C92" s="378" t="s">
        <v>1465</v>
      </c>
      <c r="D92" s="2490"/>
      <c r="E92" s="2232"/>
      <c r="F92" s="2411"/>
      <c r="G92" s="409"/>
      <c r="H92" s="1509"/>
      <c r="I92" s="660"/>
      <c r="J92" s="580"/>
      <c r="K92" s="1509"/>
      <c r="L92" s="223"/>
      <c r="M92" s="350"/>
      <c r="N92" s="343"/>
      <c r="O92" s="1633"/>
      <c r="P92" s="1633"/>
      <c r="AH92" s="1640">
        <v>0</v>
      </c>
    </row>
    <row s="1644" customFormat="1" customHeight="1" ht="45" hidden="1">
      <c r="A93" s="1788" t="s">
        <v>184</v>
      </c>
      <c r="B93" s="1788" t="s">
        <v>185</v>
      </c>
      <c r="C93" s="378"/>
      <c r="D93" s="2490"/>
      <c r="E93" s="2232"/>
      <c r="F93" s="241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55" t="str">
        <f>INDEX(PT_DIFFERENTIATION_NTAR,MATCH(B93,PT_DIFFERENTIATION_NTAR_ID,0))</f>
        <v/>
      </c>
      <c r="H93" s="1868"/>
      <c r="I93" s="1747"/>
      <c r="J93" s="1781"/>
      <c r="K93" s="1786"/>
      <c r="L93" s="1868" t="s">
        <v>321</v>
      </c>
      <c r="M93" s="350"/>
      <c r="N93" s="343"/>
      <c r="O93" s="1633"/>
      <c r="P93" s="1633"/>
      <c r="AH93" s="1640">
        <v>0</v>
      </c>
    </row>
    <row s="1644" customFormat="1" customHeight="1" ht="18.75" hidden="1">
      <c r="A94" s="1788"/>
      <c r="B94" s="1788"/>
      <c r="C94" s="378" t="s">
        <v>1458</v>
      </c>
      <c r="D94" s="2490"/>
      <c r="E94" s="2232"/>
      <c r="F94" s="2411"/>
      <c r="G94" s="2455"/>
      <c r="H94" s="1509"/>
      <c r="I94" s="660" t="s">
        <v>1457</v>
      </c>
      <c r="J94" s="580"/>
      <c r="K94" s="1509"/>
      <c r="L94" s="223"/>
      <c r="M94" s="350"/>
      <c r="N94" s="343"/>
      <c r="O94" s="1633"/>
      <c r="P94" s="1633"/>
      <c r="AH94" s="1640">
        <v>0</v>
      </c>
    </row>
    <row s="1644" customFormat="1" customHeight="1" ht="0.75" hidden="1">
      <c r="A95" s="1788"/>
      <c r="B95" s="1788"/>
      <c r="C95" s="378" t="s">
        <v>1465</v>
      </c>
      <c r="D95" s="2490"/>
      <c r="E95" s="2232"/>
      <c r="F95" s="2411"/>
      <c r="G95" s="409"/>
      <c r="H95" s="1509"/>
      <c r="I95" s="660"/>
      <c r="J95" s="580"/>
      <c r="K95" s="1509"/>
      <c r="L95" s="223"/>
      <c r="M95" s="350"/>
      <c r="N95" s="343"/>
      <c r="O95" s="1633"/>
      <c r="P95" s="1633"/>
      <c r="AH95" s="1640">
        <v>0</v>
      </c>
    </row>
    <row s="1644" customFormat="1" customHeight="1" ht="45" hidden="1">
      <c r="A96" s="1788" t="s">
        <v>190</v>
      </c>
      <c r="B96" s="1788" t="s">
        <v>191</v>
      </c>
      <c r="C96" s="378"/>
      <c r="D96" s="2490"/>
      <c r="E96" s="2232"/>
      <c r="F96" s="241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55" t="str">
        <f>INDEX(PT_DIFFERENTIATION_NTAR,MATCH(B96,PT_DIFFERENTIATION_NTAR_ID,0))</f>
        <v/>
      </c>
      <c r="H96" s="1868"/>
      <c r="I96" s="1747"/>
      <c r="J96" s="1781"/>
      <c r="K96" s="1786"/>
      <c r="L96" s="1868" t="s">
        <v>321</v>
      </c>
      <c r="M96" s="350"/>
      <c r="N96" s="343"/>
      <c r="O96" s="1633"/>
      <c r="P96" s="1633"/>
      <c r="AH96" s="1640">
        <v>0</v>
      </c>
    </row>
    <row s="1644" customFormat="1" customHeight="1" ht="18.75" hidden="1">
      <c r="A97" s="1788"/>
      <c r="B97" s="1788"/>
      <c r="C97" s="378" t="s">
        <v>1458</v>
      </c>
      <c r="D97" s="2490"/>
      <c r="E97" s="2232"/>
      <c r="F97" s="2411"/>
      <c r="G97" s="2455"/>
      <c r="H97" s="1509"/>
      <c r="I97" s="660" t="s">
        <v>1457</v>
      </c>
      <c r="J97" s="580"/>
      <c r="K97" s="1509"/>
      <c r="L97" s="223"/>
      <c r="M97" s="350"/>
      <c r="N97" s="343"/>
      <c r="O97" s="1633"/>
      <c r="P97" s="1633"/>
      <c r="AH97" s="1640">
        <v>0</v>
      </c>
    </row>
    <row s="1644" customFormat="1" customHeight="1" ht="0.75" hidden="1">
      <c r="A98" s="1788"/>
      <c r="B98" s="1788"/>
      <c r="C98" s="378" t="s">
        <v>1465</v>
      </c>
      <c r="D98" s="2490"/>
      <c r="E98" s="2232"/>
      <c r="F98" s="2411"/>
      <c r="G98" s="409"/>
      <c r="H98" s="1509"/>
      <c r="I98" s="660"/>
      <c r="J98" s="580"/>
      <c r="K98" s="1509"/>
      <c r="L98" s="223"/>
      <c r="M98" s="350"/>
      <c r="N98" s="343"/>
      <c r="O98" s="1633"/>
      <c r="P98" s="1633"/>
      <c r="AH98" s="1640">
        <v>0</v>
      </c>
    </row>
    <row s="1644" customFormat="1" customHeight="1" ht="18.75" hidden="1">
      <c r="A99" s="1788" t="s">
        <v>196</v>
      </c>
      <c r="B99" s="1788" t="s">
        <v>197</v>
      </c>
      <c r="C99" s="378"/>
      <c r="D99" s="2490"/>
      <c r="E99" s="2232"/>
      <c r="F99" s="2411" t="str">
        <f>INDEX(PT_DIFFERENTIATION_VTAR,MATCH(A99,PT_DIFFERENTIATION_VTAR_ID,0))</f>
        <v>Тарифы на услуги по передаче тепловой энергии</v>
      </c>
      <c r="G99" s="2455" t="str">
        <f>INDEX(PT_DIFFERENTIATION_NTAR,MATCH(B99,PT_DIFFERENTIATION_NTAR_ID,0))</f>
        <v/>
      </c>
      <c r="H99" s="1868"/>
      <c r="I99" s="1747"/>
      <c r="J99" s="1781"/>
      <c r="K99" s="1786"/>
      <c r="L99" s="1868" t="s">
        <v>321</v>
      </c>
      <c r="M99" s="350"/>
      <c r="N99" s="343"/>
      <c r="O99" s="1633"/>
      <c r="P99" s="1633"/>
      <c r="AH99" s="1640">
        <v>0</v>
      </c>
    </row>
    <row s="1644" customFormat="1" customHeight="1" ht="18.75" hidden="1">
      <c r="A100" s="1788"/>
      <c r="B100" s="1788"/>
      <c r="C100" s="378" t="s">
        <v>1458</v>
      </c>
      <c r="D100" s="2490"/>
      <c r="E100" s="2232"/>
      <c r="F100" s="2411"/>
      <c r="G100" s="2455"/>
      <c r="H100" s="1509"/>
      <c r="I100" s="660" t="s">
        <v>1457</v>
      </c>
      <c r="J100" s="580"/>
      <c r="K100" s="1509"/>
      <c r="L100" s="223"/>
      <c r="M100" s="350"/>
      <c r="N100" s="343"/>
      <c r="O100" s="1633"/>
      <c r="P100" s="1633"/>
      <c r="AH100" s="1640">
        <v>0</v>
      </c>
    </row>
    <row s="1644" customFormat="1" customHeight="1" ht="0.75" hidden="1">
      <c r="A101" s="1788"/>
      <c r="B101" s="1788"/>
      <c r="C101" s="378" t="s">
        <v>1465</v>
      </c>
      <c r="D101" s="2490"/>
      <c r="E101" s="2232"/>
      <c r="F101" s="2411"/>
      <c r="G101" s="409"/>
      <c r="H101" s="1509"/>
      <c r="I101" s="660"/>
      <c r="J101" s="580"/>
      <c r="K101" s="1509"/>
      <c r="L101" s="223"/>
      <c r="M101" s="350"/>
      <c r="N101" s="343"/>
      <c r="O101" s="1633"/>
      <c r="P101" s="1633"/>
      <c r="AH101" s="1640">
        <v>0</v>
      </c>
    </row>
    <row s="1644" customFormat="1" customHeight="1" ht="18.75" hidden="1">
      <c r="A102" s="1788" t="s">
        <v>202</v>
      </c>
      <c r="B102" s="1788" t="s">
        <v>203</v>
      </c>
      <c r="C102" s="378"/>
      <c r="D102" s="2490"/>
      <c r="E102" s="2232"/>
      <c r="F102" s="2411" t="str">
        <f>INDEX(PT_DIFFERENTIATION_VTAR,MATCH(A102,PT_DIFFERENTIATION_VTAR_ID,0))</f>
        <v>Тарифы на услуги по передаче теплоносителя</v>
      </c>
      <c r="G102" s="2455" t="str">
        <f>INDEX(PT_DIFFERENTIATION_NTAR,MATCH(B102,PT_DIFFERENTIATION_NTAR_ID,0))</f>
        <v/>
      </c>
      <c r="H102" s="1868"/>
      <c r="I102" s="1747"/>
      <c r="J102" s="1781"/>
      <c r="K102" s="1786"/>
      <c r="L102" s="1868" t="s">
        <v>321</v>
      </c>
      <c r="M102" s="350"/>
      <c r="N102" s="343"/>
      <c r="O102" s="1633"/>
      <c r="P102" s="1633"/>
      <c r="AH102" s="1640">
        <v>0</v>
      </c>
    </row>
    <row s="1644" customFormat="1" customHeight="1" ht="18.75" hidden="1">
      <c r="A103" s="1788"/>
      <c r="B103" s="1788"/>
      <c r="C103" s="378" t="s">
        <v>1458</v>
      </c>
      <c r="D103" s="2490"/>
      <c r="E103" s="2232"/>
      <c r="F103" s="2411"/>
      <c r="G103" s="2455"/>
      <c r="H103" s="1509"/>
      <c r="I103" s="660" t="s">
        <v>1457</v>
      </c>
      <c r="J103" s="580"/>
      <c r="K103" s="1509"/>
      <c r="L103" s="223"/>
      <c r="M103" s="350"/>
      <c r="N103" s="343"/>
      <c r="O103" s="1633"/>
      <c r="P103" s="1633"/>
      <c r="AH103" s="1640">
        <v>0</v>
      </c>
    </row>
    <row s="1644" customFormat="1" customHeight="1" ht="0.75" hidden="1">
      <c r="A104" s="1788"/>
      <c r="B104" s="1788"/>
      <c r="C104" s="378" t="s">
        <v>1465</v>
      </c>
      <c r="D104" s="2490"/>
      <c r="E104" s="2232"/>
      <c r="F104" s="2411"/>
      <c r="G104" s="409"/>
      <c r="H104" s="1509"/>
      <c r="I104" s="660"/>
      <c r="J104" s="580"/>
      <c r="K104" s="1509"/>
      <c r="L104" s="223"/>
      <c r="M104" s="350"/>
      <c r="N104" s="343"/>
      <c r="O104" s="1633"/>
      <c r="P104" s="1633"/>
      <c r="AH104" s="1640">
        <v>0</v>
      </c>
    </row>
    <row s="1644" customFormat="1" customHeight="1" ht="18.75" hidden="1">
      <c r="A105" s="1788" t="s">
        <v>208</v>
      </c>
      <c r="B105" s="1788" t="s">
        <v>209</v>
      </c>
      <c r="C105" s="378"/>
      <c r="D105" s="2490"/>
      <c r="E105" s="2232"/>
      <c r="F105" s="241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55" t="str">
        <f>INDEX(PT_DIFFERENTIATION_NTAR,MATCH(B105,PT_DIFFERENTIATION_NTAR_ID,0))</f>
        <v/>
      </c>
      <c r="H105" s="1868"/>
      <c r="I105" s="1747"/>
      <c r="J105" s="1781"/>
      <c r="K105" s="1786"/>
      <c r="L105" s="1868" t="s">
        <v>321</v>
      </c>
      <c r="M105" s="350"/>
      <c r="N105" s="343"/>
      <c r="O105" s="1633"/>
      <c r="P105" s="1633"/>
      <c r="AH105" s="1640">
        <v>0</v>
      </c>
    </row>
    <row s="1644" customFormat="1" customHeight="1" ht="18.75" hidden="1">
      <c r="A106" s="1788"/>
      <c r="B106" s="1788"/>
      <c r="C106" s="378" t="s">
        <v>1458</v>
      </c>
      <c r="D106" s="2490"/>
      <c r="E106" s="2232"/>
      <c r="F106" s="2411"/>
      <c r="G106" s="2455"/>
      <c r="H106" s="1509"/>
      <c r="I106" s="660" t="s">
        <v>1457</v>
      </c>
      <c r="J106" s="580"/>
      <c r="K106" s="1509"/>
      <c r="L106" s="223"/>
      <c r="M106" s="350"/>
      <c r="N106" s="343"/>
      <c r="O106" s="1633"/>
      <c r="P106" s="1633"/>
      <c r="AH106" s="1640">
        <v>0</v>
      </c>
    </row>
    <row s="1644" customFormat="1" customHeight="1" ht="0.75" hidden="1">
      <c r="A107" s="1788"/>
      <c r="B107" s="1788"/>
      <c r="C107" s="378" t="s">
        <v>1465</v>
      </c>
      <c r="D107" s="2490"/>
      <c r="E107" s="2232"/>
      <c r="F107" s="2411"/>
      <c r="G107" s="409"/>
      <c r="H107" s="1509"/>
      <c r="I107" s="660"/>
      <c r="J107" s="580"/>
      <c r="K107" s="1509"/>
      <c r="L107" s="223"/>
      <c r="M107" s="350"/>
      <c r="N107" s="343"/>
      <c r="O107" s="1633"/>
      <c r="P107" s="1633"/>
      <c r="AH107" s="1640">
        <v>0</v>
      </c>
    </row>
    <row s="1644" customFormat="1" customHeight="1" ht="18.75" hidden="1">
      <c r="A108" s="1788" t="s">
        <v>214</v>
      </c>
      <c r="B108" s="1788" t="s">
        <v>215</v>
      </c>
      <c r="C108" s="378"/>
      <c r="D108" s="2490"/>
      <c r="E108" s="2232"/>
      <c r="F108" s="2411" t="str">
        <f>INDEX(PT_DIFFERENTIATION_VTAR,MATCH(A108,PT_DIFFERENTIATION_VTAR_ID,0))</f>
        <v>Плата за подключение (технологическое присоединение) к системе теплоснабжения</v>
      </c>
      <c r="G108" s="2455" t="str">
        <f>INDEX(PT_DIFFERENTIATION_NTAR,MATCH(B108,PT_DIFFERENTIATION_NTAR_ID,0))</f>
        <v/>
      </c>
      <c r="H108" s="1868"/>
      <c r="I108" s="1747"/>
      <c r="J108" s="1781"/>
      <c r="K108" s="1786"/>
      <c r="L108" s="1868" t="s">
        <v>321</v>
      </c>
      <c r="M108" s="350"/>
      <c r="N108" s="343"/>
      <c r="O108" s="1633"/>
      <c r="P108" s="1633"/>
      <c r="AH108" s="1640">
        <v>0</v>
      </c>
    </row>
    <row s="1644" customFormat="1" customHeight="1" ht="18.75" hidden="1">
      <c r="A109" s="1788"/>
      <c r="B109" s="1788"/>
      <c r="C109" s="378" t="s">
        <v>1458</v>
      </c>
      <c r="D109" s="2490"/>
      <c r="E109" s="2232"/>
      <c r="F109" s="2411"/>
      <c r="G109" s="2455"/>
      <c r="H109" s="1509"/>
      <c r="I109" s="660" t="s">
        <v>1457</v>
      </c>
      <c r="J109" s="580"/>
      <c r="K109" s="1509"/>
      <c r="L109" s="223"/>
      <c r="M109" s="350"/>
      <c r="N109" s="343"/>
      <c r="O109" s="1633"/>
      <c r="P109" s="1633"/>
      <c r="AH109" s="1640">
        <v>0</v>
      </c>
    </row>
    <row s="1644" customFormat="1" customHeight="1" ht="0.75" hidden="1">
      <c r="A110" s="1788"/>
      <c r="B110" s="1788"/>
      <c r="C110" s="378" t="s">
        <v>1465</v>
      </c>
      <c r="D110" s="2490"/>
      <c r="E110" s="2232"/>
      <c r="F110" s="2411"/>
      <c r="G110" s="409"/>
      <c r="H110" s="1509"/>
      <c r="I110" s="660"/>
      <c r="J110" s="580"/>
      <c r="K110" s="1509"/>
      <c r="L110" s="223"/>
      <c r="M110" s="350"/>
      <c r="N110" s="343"/>
      <c r="O110" s="1633"/>
      <c r="P110" s="1633"/>
      <c r="AH110" s="1640">
        <v>0</v>
      </c>
    </row>
    <row s="1644" customFormat="1" customHeight="1" ht="18.75" hidden="1">
      <c r="A111" s="1788" t="s">
        <v>220</v>
      </c>
      <c r="B111" s="1788" t="s">
        <v>221</v>
      </c>
      <c r="C111" s="378"/>
      <c r="D111" s="2490"/>
      <c r="E111" s="2232"/>
      <c r="F111" s="2411" t="str">
        <f>INDEX(PT_DIFFERENTIATION_VTAR,MATCH(A111,PT_DIFFERENTIATION_VTAR_ID,0))</f>
        <v>Плата за подключение (технологическое присоединение) к системе теплоснабжения (индивидуальная)</v>
      </c>
      <c r="G111" s="2455" t="str">
        <f>INDEX(PT_DIFFERENTIATION_NTAR,MATCH(B111,PT_DIFFERENTIATION_NTAR_ID,0))</f>
        <v/>
      </c>
      <c r="H111" s="1995"/>
      <c r="I111" s="1747"/>
      <c r="J111" s="1781"/>
      <c r="K111" s="1786"/>
      <c r="L111" s="1995" t="s">
        <v>321</v>
      </c>
      <c r="M111" s="350"/>
      <c r="N111" s="343"/>
      <c r="O111" s="1633"/>
      <c r="P111" s="1633"/>
      <c r="AH111" s="1640">
        <v>0</v>
      </c>
    </row>
    <row s="1644" customFormat="1" customHeight="1" ht="18.75" hidden="1">
      <c r="A112" s="1788"/>
      <c r="B112" s="1788"/>
      <c r="C112" s="378" t="s">
        <v>1458</v>
      </c>
      <c r="D112" s="2490"/>
      <c r="E112" s="2232"/>
      <c r="F112" s="2411"/>
      <c r="G112" s="2455"/>
      <c r="H112" s="1509"/>
      <c r="I112" s="660" t="s">
        <v>1457</v>
      </c>
      <c r="J112" s="580"/>
      <c r="K112" s="1509"/>
      <c r="L112" s="223"/>
      <c r="M112" s="350"/>
      <c r="N112" s="343"/>
      <c r="O112" s="1633"/>
      <c r="P112" s="1633"/>
      <c r="AH112" s="1640">
        <v>0</v>
      </c>
    </row>
    <row s="1644" customFormat="1" customHeight="1" ht="0.75" hidden="1">
      <c r="A113" s="1788"/>
      <c r="B113" s="1788"/>
      <c r="C113" s="378" t="s">
        <v>1465</v>
      </c>
      <c r="D113" s="2490"/>
      <c r="E113" s="2232"/>
      <c r="F113" s="2411"/>
      <c r="G113" s="409"/>
      <c r="H113" s="1509"/>
      <c r="I113" s="660"/>
      <c r="J113" s="580"/>
      <c r="K113" s="1509"/>
      <c r="L113" s="223"/>
      <c r="M113" s="350"/>
      <c r="N113" s="343"/>
      <c r="O113" s="1633"/>
      <c r="P113" s="1633"/>
      <c r="AH113" s="1640">
        <v>0</v>
      </c>
    </row>
    <row s="1644" customFormat="1" customHeight="1" ht="18.75" hidden="1">
      <c r="A114" s="1788" t="s">
        <v>240</v>
      </c>
      <c r="B114" s="1788" t="s">
        <v>241</v>
      </c>
      <c r="C114" s="378"/>
      <c r="D114" s="2490"/>
      <c r="E114" s="2232"/>
      <c r="F114" s="2411" t="str">
        <f>INDEX(PT_DIFFERENTIATION_VTAR,MATCH(A114,PT_DIFFERENTIATION_VTAR_ID,0))</f>
        <v>Тариф на питьевую воду (питьевое водоснабжение)</v>
      </c>
      <c r="G114" s="2455" t="str">
        <f>INDEX(PT_DIFFERENTIATION_NTAR,MATCH(B114,PT_DIFFERENTIATION_NTAR_ID,0))</f>
        <v/>
      </c>
      <c r="H114" s="1868"/>
      <c r="I114" s="1747"/>
      <c r="J114" s="1781"/>
      <c r="K114" s="1786"/>
      <c r="L114" s="1868" t="s">
        <v>321</v>
      </c>
      <c r="M114" s="350"/>
      <c r="N114" s="343"/>
      <c r="O114" s="1633"/>
      <c r="P114" s="1633"/>
      <c r="AH114" s="1640">
        <v>0</v>
      </c>
    </row>
    <row s="1644" customFormat="1" customHeight="1" ht="18.75" hidden="1">
      <c r="A115" s="1788"/>
      <c r="B115" s="1788"/>
      <c r="C115" s="378" t="s">
        <v>1458</v>
      </c>
      <c r="D115" s="2490"/>
      <c r="E115" s="2232"/>
      <c r="F115" s="2411"/>
      <c r="G115" s="2455"/>
      <c r="H115" s="1509"/>
      <c r="I115" s="660" t="s">
        <v>1457</v>
      </c>
      <c r="J115" s="580"/>
      <c r="K115" s="1509"/>
      <c r="L115" s="223"/>
      <c r="M115" s="350"/>
      <c r="N115" s="343"/>
      <c r="O115" s="1633"/>
      <c r="P115" s="1633"/>
      <c r="AH115" s="1640">
        <v>0</v>
      </c>
    </row>
    <row s="1644" customFormat="1" customHeight="1" ht="0.75" hidden="1">
      <c r="A116" s="1788"/>
      <c r="B116" s="1788"/>
      <c r="C116" s="378" t="s">
        <v>1465</v>
      </c>
      <c r="D116" s="2490"/>
      <c r="E116" s="2232"/>
      <c r="F116" s="2411"/>
      <c r="G116" s="409"/>
      <c r="H116" s="1509"/>
      <c r="I116" s="660"/>
      <c r="J116" s="580"/>
      <c r="K116" s="1509"/>
      <c r="L116" s="223"/>
      <c r="M116" s="350"/>
      <c r="N116" s="343"/>
      <c r="O116" s="1633"/>
      <c r="P116" s="1633"/>
      <c r="AH116" s="1640">
        <v>0</v>
      </c>
    </row>
    <row s="1644" customFormat="1" customHeight="1" ht="18.75" hidden="1">
      <c r="A117" s="1788" t="s">
        <v>245</v>
      </c>
      <c r="B117" s="1788" t="s">
        <v>246</v>
      </c>
      <c r="C117" s="378"/>
      <c r="D117" s="2490"/>
      <c r="E117" s="2232"/>
      <c r="F117" s="2411" t="str">
        <f>INDEX(PT_DIFFERENTIATION_VTAR,MATCH(A117,PT_DIFFERENTIATION_VTAR_ID,0))</f>
        <v>Тариф на техническую воду</v>
      </c>
      <c r="G117" s="2455" t="str">
        <f>INDEX(PT_DIFFERENTIATION_NTAR,MATCH(B117,PT_DIFFERENTIATION_NTAR_ID,0))</f>
        <v/>
      </c>
      <c r="H117" s="1868"/>
      <c r="I117" s="1747"/>
      <c r="J117" s="1781"/>
      <c r="K117" s="1786"/>
      <c r="L117" s="1868" t="s">
        <v>321</v>
      </c>
      <c r="M117" s="350"/>
      <c r="N117" s="343"/>
      <c r="O117" s="1633"/>
      <c r="P117" s="1633"/>
      <c r="AH117" s="1640">
        <v>0</v>
      </c>
    </row>
    <row s="1644" customFormat="1" customHeight="1" ht="18.75" hidden="1">
      <c r="A118" s="1788"/>
      <c r="B118" s="1788"/>
      <c r="C118" s="378" t="s">
        <v>1458</v>
      </c>
      <c r="D118" s="2490"/>
      <c r="E118" s="2232"/>
      <c r="F118" s="2411"/>
      <c r="G118" s="2455"/>
      <c r="H118" s="1509"/>
      <c r="I118" s="660" t="s">
        <v>1457</v>
      </c>
      <c r="J118" s="580"/>
      <c r="K118" s="1509"/>
      <c r="L118" s="223"/>
      <c r="M118" s="350"/>
      <c r="N118" s="343"/>
      <c r="O118" s="1633"/>
      <c r="P118" s="1633"/>
      <c r="AH118" s="1640">
        <v>0</v>
      </c>
    </row>
    <row s="1644" customFormat="1" customHeight="1" ht="0.75" hidden="1">
      <c r="A119" s="1788"/>
      <c r="B119" s="1788"/>
      <c r="C119" s="378" t="s">
        <v>1465</v>
      </c>
      <c r="D119" s="2490"/>
      <c r="E119" s="2232"/>
      <c r="F119" s="2411"/>
      <c r="G119" s="409"/>
      <c r="H119" s="1509"/>
      <c r="I119" s="660"/>
      <c r="J119" s="580"/>
      <c r="K119" s="1509"/>
      <c r="L119" s="223"/>
      <c r="M119" s="350"/>
      <c r="N119" s="343"/>
      <c r="O119" s="1633"/>
      <c r="P119" s="1633"/>
      <c r="AH119" s="1640">
        <v>0</v>
      </c>
    </row>
    <row s="1644" customFormat="1" customHeight="1" ht="18.75" hidden="1">
      <c r="A120" s="1788" t="s">
        <v>250</v>
      </c>
      <c r="B120" s="1788" t="s">
        <v>251</v>
      </c>
      <c r="C120" s="378"/>
      <c r="D120" s="2490"/>
      <c r="E120" s="2232"/>
      <c r="F120" s="2411" t="str">
        <f>INDEX(PT_DIFFERENTIATION_VTAR,MATCH(A120,PT_DIFFERENTIATION_VTAR_ID,0))</f>
        <v>Тариф на транспортировку воды</v>
      </c>
      <c r="G120" s="2455" t="str">
        <f>INDEX(PT_DIFFERENTIATION_NTAR,MATCH(B120,PT_DIFFERENTIATION_NTAR_ID,0))</f>
        <v/>
      </c>
      <c r="H120" s="1868"/>
      <c r="I120" s="1747"/>
      <c r="J120" s="1781"/>
      <c r="K120" s="1786"/>
      <c r="L120" s="1868" t="s">
        <v>321</v>
      </c>
      <c r="M120" s="350"/>
      <c r="N120" s="343"/>
      <c r="O120" s="1633"/>
      <c r="P120" s="1633"/>
      <c r="AH120" s="1640">
        <v>0</v>
      </c>
    </row>
    <row s="1644" customFormat="1" customHeight="1" ht="18.75" hidden="1">
      <c r="A121" s="1788"/>
      <c r="B121" s="1788"/>
      <c r="C121" s="378" t="s">
        <v>1458</v>
      </c>
      <c r="D121" s="2490"/>
      <c r="E121" s="2232"/>
      <c r="F121" s="2411"/>
      <c r="G121" s="2455"/>
      <c r="H121" s="1509"/>
      <c r="I121" s="660" t="s">
        <v>1457</v>
      </c>
      <c r="J121" s="580"/>
      <c r="K121" s="1509"/>
      <c r="L121" s="223"/>
      <c r="M121" s="350"/>
      <c r="N121" s="343"/>
      <c r="O121" s="1633"/>
      <c r="P121" s="1633"/>
      <c r="AH121" s="1640">
        <v>0</v>
      </c>
    </row>
    <row s="1644" customFormat="1" customHeight="1" ht="0.75" hidden="1">
      <c r="A122" s="1788"/>
      <c r="B122" s="1788"/>
      <c r="C122" s="378" t="s">
        <v>1465</v>
      </c>
      <c r="D122" s="2490"/>
      <c r="E122" s="2232"/>
      <c r="F122" s="2411"/>
      <c r="G122" s="409"/>
      <c r="H122" s="1509"/>
      <c r="I122" s="660"/>
      <c r="J122" s="580"/>
      <c r="K122" s="1509"/>
      <c r="L122" s="223"/>
      <c r="M122" s="350"/>
      <c r="N122" s="343"/>
      <c r="O122" s="1633"/>
      <c r="P122" s="1633"/>
      <c r="AH122" s="1640">
        <v>0</v>
      </c>
    </row>
    <row s="1644" customFormat="1" customHeight="1" ht="18.75" hidden="1">
      <c r="A123" s="1788" t="s">
        <v>255</v>
      </c>
      <c r="B123" s="1788" t="s">
        <v>256</v>
      </c>
      <c r="C123" s="378"/>
      <c r="D123" s="2490"/>
      <c r="E123" s="2232"/>
      <c r="F123" s="2411" t="str">
        <f>INDEX(PT_DIFFERENTIATION_VTAR,MATCH(A123,PT_DIFFERENTIATION_VTAR_ID,0))</f>
        <v>Тариф на подвоз воды</v>
      </c>
      <c r="G123" s="2455" t="str">
        <f>INDEX(PT_DIFFERENTIATION_NTAR,MATCH(B123,PT_DIFFERENTIATION_NTAR_ID,0))</f>
        <v/>
      </c>
      <c r="H123" s="1868"/>
      <c r="I123" s="1747"/>
      <c r="J123" s="1781"/>
      <c r="K123" s="1786"/>
      <c r="L123" s="1868" t="s">
        <v>321</v>
      </c>
      <c r="M123" s="350"/>
      <c r="N123" s="343"/>
      <c r="O123" s="1633"/>
      <c r="P123" s="1633"/>
      <c r="AH123" s="1640">
        <v>0</v>
      </c>
    </row>
    <row s="1644" customFormat="1" customHeight="1" ht="18.75" hidden="1">
      <c r="A124" s="1788"/>
      <c r="B124" s="1788"/>
      <c r="C124" s="378" t="s">
        <v>1458</v>
      </c>
      <c r="D124" s="2490"/>
      <c r="E124" s="2232"/>
      <c r="F124" s="2411"/>
      <c r="G124" s="2455"/>
      <c r="H124" s="1509"/>
      <c r="I124" s="660" t="s">
        <v>1457</v>
      </c>
      <c r="J124" s="580"/>
      <c r="K124" s="1509"/>
      <c r="L124" s="223"/>
      <c r="M124" s="350"/>
      <c r="N124" s="343"/>
      <c r="O124" s="1633"/>
      <c r="P124" s="1633"/>
      <c r="AH124" s="1640">
        <v>0</v>
      </c>
    </row>
    <row s="1644" customFormat="1" customHeight="1" ht="0.75" hidden="1">
      <c r="A125" s="1788"/>
      <c r="B125" s="1788"/>
      <c r="C125" s="378" t="s">
        <v>1465</v>
      </c>
      <c r="D125" s="2490"/>
      <c r="E125" s="2232"/>
      <c r="F125" s="2411"/>
      <c r="G125" s="409"/>
      <c r="H125" s="1509"/>
      <c r="I125" s="660"/>
      <c r="J125" s="580"/>
      <c r="K125" s="1509"/>
      <c r="L125" s="223"/>
      <c r="M125" s="350"/>
      <c r="N125" s="343"/>
      <c r="O125" s="1633"/>
      <c r="P125" s="1633"/>
      <c r="AH125" s="1640">
        <v>0</v>
      </c>
    </row>
    <row s="1644" customFormat="1" customHeight="1" ht="18.75" hidden="1">
      <c r="A126" s="1788" t="s">
        <v>260</v>
      </c>
      <c r="B126" s="1788" t="s">
        <v>261</v>
      </c>
      <c r="C126" s="378"/>
      <c r="D126" s="2490"/>
      <c r="E126" s="2232"/>
      <c r="F126" s="241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55" t="str">
        <f>INDEX(PT_DIFFERENTIATION_NTAR,MATCH(B126,PT_DIFFERENTIATION_NTAR_ID,0))</f>
        <v/>
      </c>
      <c r="H126" s="1868"/>
      <c r="I126" s="1747"/>
      <c r="J126" s="1781"/>
      <c r="K126" s="1786"/>
      <c r="L126" s="1868" t="s">
        <v>321</v>
      </c>
      <c r="M126" s="350"/>
      <c r="N126" s="343"/>
      <c r="O126" s="1633"/>
      <c r="P126" s="1633"/>
      <c r="AH126" s="1640">
        <v>0</v>
      </c>
    </row>
    <row s="1644" customFormat="1" customHeight="1" ht="18.75" hidden="1">
      <c r="A127" s="1788"/>
      <c r="B127" s="1788"/>
      <c r="C127" s="378" t="s">
        <v>1458</v>
      </c>
      <c r="D127" s="2490"/>
      <c r="E127" s="2232"/>
      <c r="F127" s="2411"/>
      <c r="G127" s="2455"/>
      <c r="H127" s="1509"/>
      <c r="I127" s="660" t="s">
        <v>1457</v>
      </c>
      <c r="J127" s="580"/>
      <c r="K127" s="1509"/>
      <c r="L127" s="223"/>
      <c r="M127" s="350"/>
      <c r="N127" s="343"/>
      <c r="O127" s="1633"/>
      <c r="P127" s="1633"/>
      <c r="AH127" s="1640">
        <v>0</v>
      </c>
    </row>
    <row s="1644" customFormat="1" customHeight="1" ht="0.75" hidden="1">
      <c r="A128" s="1788"/>
      <c r="B128" s="1788"/>
      <c r="C128" s="378" t="s">
        <v>1465</v>
      </c>
      <c r="D128" s="2490"/>
      <c r="E128" s="2232"/>
      <c r="F128" s="2411"/>
      <c r="G128" s="409"/>
      <c r="H128" s="1509"/>
      <c r="I128" s="660"/>
      <c r="J128" s="580"/>
      <c r="K128" s="1509"/>
      <c r="L128" s="223"/>
      <c r="M128" s="350"/>
      <c r="N128" s="343"/>
      <c r="O128" s="1633"/>
      <c r="P128" s="1633"/>
      <c r="AH128" s="1640">
        <v>0</v>
      </c>
    </row>
    <row s="1644" customFormat="1" customHeight="1" ht="18.75" hidden="1">
      <c r="A129" s="1788" t="s">
        <v>265</v>
      </c>
      <c r="B129" s="1788" t="s">
        <v>266</v>
      </c>
      <c r="C129" s="378"/>
      <c r="D129" s="2490"/>
      <c r="E129" s="2232"/>
      <c r="F129" s="2411" t="str">
        <f>INDEX(PT_DIFFERENTIATION_VTAR,MATCH(A129,PT_DIFFERENTIATION_VTAR_ID,0))</f>
        <v>Тариф на горячую воду (горячее водоснабжение)</v>
      </c>
      <c r="G129" s="2455" t="str">
        <f>INDEX(PT_DIFFERENTIATION_NTAR,MATCH(B129,PT_DIFFERENTIATION_NTAR_ID,0))</f>
        <v/>
      </c>
      <c r="H129" s="1868"/>
      <c r="I129" s="1747"/>
      <c r="J129" s="1781"/>
      <c r="K129" s="1786"/>
      <c r="L129" s="1868" t="s">
        <v>321</v>
      </c>
      <c r="M129" s="350"/>
      <c r="N129" s="343"/>
      <c r="O129" s="1633"/>
      <c r="P129" s="1633"/>
      <c r="AH129" s="1640">
        <v>0</v>
      </c>
    </row>
    <row s="1644" customFormat="1" customHeight="1" ht="18.75" hidden="1">
      <c r="A130" s="1788"/>
      <c r="B130" s="1788"/>
      <c r="C130" s="378" t="s">
        <v>1458</v>
      </c>
      <c r="D130" s="2490"/>
      <c r="E130" s="2232"/>
      <c r="F130" s="2411"/>
      <c r="G130" s="2455"/>
      <c r="H130" s="1509"/>
      <c r="I130" s="660" t="s">
        <v>1457</v>
      </c>
      <c r="J130" s="580"/>
      <c r="K130" s="1509"/>
      <c r="L130" s="223"/>
      <c r="M130" s="350"/>
      <c r="N130" s="343"/>
      <c r="O130" s="1633"/>
      <c r="P130" s="1633"/>
      <c r="AH130" s="1640">
        <v>0</v>
      </c>
    </row>
    <row s="1644" customFormat="1" customHeight="1" ht="0.75" hidden="1">
      <c r="A131" s="1788"/>
      <c r="B131" s="1788"/>
      <c r="C131" s="378" t="s">
        <v>1465</v>
      </c>
      <c r="D131" s="2490"/>
      <c r="E131" s="2232"/>
      <c r="F131" s="2411"/>
      <c r="G131" s="409"/>
      <c r="H131" s="1509"/>
      <c r="I131" s="660"/>
      <c r="J131" s="580"/>
      <c r="K131" s="1509"/>
      <c r="L131" s="223"/>
      <c r="M131" s="350"/>
      <c r="N131" s="343"/>
      <c r="O131" s="1633"/>
      <c r="P131" s="1633"/>
      <c r="AH131" s="1640">
        <v>0</v>
      </c>
    </row>
    <row s="1644" customFormat="1" customHeight="1" ht="18.75" hidden="1">
      <c r="A132" s="1788" t="s">
        <v>270</v>
      </c>
      <c r="B132" s="1788" t="s">
        <v>271</v>
      </c>
      <c r="C132" s="378"/>
      <c r="D132" s="2490"/>
      <c r="E132" s="2232"/>
      <c r="F132" s="2411" t="str">
        <f>INDEX(PT_DIFFERENTIATION_VTAR,MATCH(A132,PT_DIFFERENTIATION_VTAR_ID,0))</f>
        <v>Тариф на транспортировку горячей воды</v>
      </c>
      <c r="G132" s="2455" t="str">
        <f>INDEX(PT_DIFFERENTIATION_NTAR,MATCH(B132,PT_DIFFERENTIATION_NTAR_ID,0))</f>
        <v/>
      </c>
      <c r="H132" s="1868"/>
      <c r="I132" s="1747"/>
      <c r="J132" s="1781"/>
      <c r="K132" s="1786"/>
      <c r="L132" s="1868" t="s">
        <v>321</v>
      </c>
      <c r="M132" s="350"/>
      <c r="N132" s="343"/>
      <c r="O132" s="1633"/>
      <c r="P132" s="1633"/>
      <c r="AH132" s="1640">
        <v>0</v>
      </c>
    </row>
    <row s="1644" customFormat="1" customHeight="1" ht="18.75" hidden="1">
      <c r="A133" s="1788"/>
      <c r="B133" s="1788"/>
      <c r="C133" s="378" t="s">
        <v>1458</v>
      </c>
      <c r="D133" s="2490"/>
      <c r="E133" s="2232"/>
      <c r="F133" s="2411"/>
      <c r="G133" s="2455"/>
      <c r="H133" s="1509"/>
      <c r="I133" s="660" t="s">
        <v>1457</v>
      </c>
      <c r="J133" s="580"/>
      <c r="K133" s="1509"/>
      <c r="L133" s="223"/>
      <c r="M133" s="350"/>
      <c r="N133" s="343"/>
      <c r="O133" s="1633"/>
      <c r="P133" s="1633"/>
      <c r="AH133" s="1640">
        <v>0</v>
      </c>
    </row>
    <row s="1644" customFormat="1" customHeight="1" ht="0.75" hidden="1">
      <c r="A134" s="1788"/>
      <c r="B134" s="1788"/>
      <c r="C134" s="378" t="s">
        <v>1465</v>
      </c>
      <c r="D134" s="2490"/>
      <c r="E134" s="2232"/>
      <c r="F134" s="2411"/>
      <c r="G134" s="409"/>
      <c r="H134" s="1509"/>
      <c r="I134" s="660"/>
      <c r="J134" s="580"/>
      <c r="K134" s="1509"/>
      <c r="L134" s="223"/>
      <c r="M134" s="350"/>
      <c r="N134" s="343"/>
      <c r="O134" s="1633"/>
      <c r="P134" s="1633"/>
      <c r="AH134" s="1640">
        <v>0</v>
      </c>
    </row>
    <row s="1644" customFormat="1" customHeight="1" ht="18.75" hidden="1">
      <c r="A135" s="1788" t="s">
        <v>275</v>
      </c>
      <c r="B135" s="1788" t="s">
        <v>276</v>
      </c>
      <c r="C135" s="378"/>
      <c r="D135" s="2490"/>
      <c r="E135" s="2232"/>
      <c r="F135" s="241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55" t="str">
        <f>INDEX(PT_DIFFERENTIATION_NTAR,MATCH(B135,PT_DIFFERENTIATION_NTAR_ID,0))</f>
        <v/>
      </c>
      <c r="H135" s="1868"/>
      <c r="I135" s="1747"/>
      <c r="J135" s="1781"/>
      <c r="K135" s="1786"/>
      <c r="L135" s="1868" t="s">
        <v>321</v>
      </c>
      <c r="M135" s="350"/>
      <c r="N135" s="343"/>
      <c r="O135" s="1633"/>
      <c r="P135" s="1633"/>
      <c r="AH135" s="1640">
        <v>0</v>
      </c>
    </row>
    <row s="1644" customFormat="1" customHeight="1" ht="18.75" hidden="1">
      <c r="A136" s="1788"/>
      <c r="B136" s="1788"/>
      <c r="C136" s="378" t="s">
        <v>1458</v>
      </c>
      <c r="D136" s="2490"/>
      <c r="E136" s="2232"/>
      <c r="F136" s="2411"/>
      <c r="G136" s="2455"/>
      <c r="H136" s="1509"/>
      <c r="I136" s="660" t="s">
        <v>1457</v>
      </c>
      <c r="J136" s="580"/>
      <c r="K136" s="1509"/>
      <c r="L136" s="223"/>
      <c r="M136" s="350"/>
      <c r="N136" s="343"/>
      <c r="O136" s="1633"/>
      <c r="P136" s="1633"/>
      <c r="AH136" s="1640">
        <v>0</v>
      </c>
    </row>
    <row s="1644" customFormat="1" customHeight="1" ht="0.75" hidden="1">
      <c r="A137" s="1788"/>
      <c r="B137" s="1788"/>
      <c r="C137" s="378" t="s">
        <v>1465</v>
      </c>
      <c r="D137" s="2490"/>
      <c r="E137" s="2232"/>
      <c r="F137" s="2411"/>
      <c r="G137" s="409"/>
      <c r="H137" s="1509"/>
      <c r="I137" s="660"/>
      <c r="J137" s="580"/>
      <c r="K137" s="1509"/>
      <c r="L137" s="223"/>
      <c r="M137" s="350"/>
      <c r="N137" s="343"/>
      <c r="O137" s="1633"/>
      <c r="P137" s="1633"/>
      <c r="AH137" s="1640">
        <v>0</v>
      </c>
    </row>
    <row s="1644" customFormat="1" customHeight="1" ht="18.75" hidden="1">
      <c r="A138" s="1788" t="s">
        <v>280</v>
      </c>
      <c r="B138" s="1788" t="s">
        <v>281</v>
      </c>
      <c r="C138" s="378"/>
      <c r="D138" s="2490"/>
      <c r="E138" s="2232"/>
      <c r="F138" s="2411" t="str">
        <f>INDEX(PT_DIFFERENTIATION_VTAR,MATCH(A138,PT_DIFFERENTIATION_VTAR_ID,0))</f>
        <v>Тариф на водоотведение</v>
      </c>
      <c r="G138" s="2455" t="str">
        <f>INDEX(PT_DIFFERENTIATION_NTAR,MATCH(B138,PT_DIFFERENTIATION_NTAR_ID,0))</f>
        <v/>
      </c>
      <c r="H138" s="1868"/>
      <c r="I138" s="1747"/>
      <c r="J138" s="1781"/>
      <c r="K138" s="1786"/>
      <c r="L138" s="1868" t="s">
        <v>321</v>
      </c>
      <c r="M138" s="350"/>
      <c r="N138" s="343"/>
      <c r="O138" s="1633"/>
      <c r="P138" s="1633"/>
      <c r="AH138" s="1640">
        <v>0</v>
      </c>
    </row>
    <row s="1644" customFormat="1" customHeight="1" ht="18.75" hidden="1">
      <c r="A139" s="1788"/>
      <c r="B139" s="1788"/>
      <c r="C139" s="378" t="s">
        <v>1458</v>
      </c>
      <c r="D139" s="2490"/>
      <c r="E139" s="2232"/>
      <c r="F139" s="2411"/>
      <c r="G139" s="2455"/>
      <c r="H139" s="1509"/>
      <c r="I139" s="660" t="s">
        <v>1457</v>
      </c>
      <c r="J139" s="580"/>
      <c r="K139" s="1509"/>
      <c r="L139" s="223"/>
      <c r="M139" s="350"/>
      <c r="N139" s="343"/>
      <c r="O139" s="1633"/>
      <c r="P139" s="1633"/>
      <c r="AH139" s="1640">
        <v>0</v>
      </c>
    </row>
    <row s="1644" customFormat="1" customHeight="1" ht="0.75" hidden="1">
      <c r="A140" s="1788"/>
      <c r="B140" s="1788"/>
      <c r="C140" s="378" t="s">
        <v>1465</v>
      </c>
      <c r="D140" s="2490"/>
      <c r="E140" s="2232"/>
      <c r="F140" s="2411"/>
      <c r="G140" s="409"/>
      <c r="H140" s="1509"/>
      <c r="I140" s="660"/>
      <c r="J140" s="580"/>
      <c r="K140" s="1509"/>
      <c r="L140" s="223"/>
      <c r="M140" s="350"/>
      <c r="N140" s="343"/>
      <c r="O140" s="1633"/>
      <c r="P140" s="1633"/>
      <c r="AH140" s="1640">
        <v>0</v>
      </c>
    </row>
    <row s="1644" customFormat="1" customHeight="1" ht="18.75" hidden="1">
      <c r="A141" s="1788" t="s">
        <v>285</v>
      </c>
      <c r="B141" s="1788" t="s">
        <v>286</v>
      </c>
      <c r="C141" s="378"/>
      <c r="D141" s="2490"/>
      <c r="E141" s="2232"/>
      <c r="F141" s="2411" t="str">
        <f>INDEX(PT_DIFFERENTIATION_VTAR,MATCH(A141,PT_DIFFERENTIATION_VTAR_ID,0))</f>
        <v>Тариф на транспортировку сточных вод</v>
      </c>
      <c r="G141" s="2455" t="str">
        <f>INDEX(PT_DIFFERENTIATION_NTAR,MATCH(B141,PT_DIFFERENTIATION_NTAR_ID,0))</f>
        <v/>
      </c>
      <c r="H141" s="1868"/>
      <c r="I141" s="1747"/>
      <c r="J141" s="1781"/>
      <c r="K141" s="1786"/>
      <c r="L141" s="1868" t="s">
        <v>321</v>
      </c>
      <c r="M141" s="350"/>
      <c r="N141" s="343"/>
      <c r="O141" s="1633"/>
      <c r="P141" s="1633"/>
      <c r="AH141" s="1640">
        <v>0</v>
      </c>
    </row>
    <row s="1644" customFormat="1" customHeight="1" ht="18.75" hidden="1">
      <c r="A142" s="1788"/>
      <c r="B142" s="1788"/>
      <c r="C142" s="378" t="s">
        <v>1458</v>
      </c>
      <c r="D142" s="2490"/>
      <c r="E142" s="2232"/>
      <c r="F142" s="2411"/>
      <c r="G142" s="2455"/>
      <c r="H142" s="1509"/>
      <c r="I142" s="660" t="s">
        <v>1457</v>
      </c>
      <c r="J142" s="580"/>
      <c r="K142" s="1509"/>
      <c r="L142" s="223"/>
      <c r="M142" s="350"/>
      <c r="N142" s="343"/>
      <c r="O142" s="1633"/>
      <c r="P142" s="1633"/>
      <c r="AH142" s="1640">
        <v>0</v>
      </c>
    </row>
    <row s="1644" customFormat="1" customHeight="1" ht="0.75" hidden="1">
      <c r="A143" s="1788"/>
      <c r="B143" s="1788"/>
      <c r="C143" s="378" t="s">
        <v>1465</v>
      </c>
      <c r="D143" s="2490"/>
      <c r="E143" s="2232"/>
      <c r="F143" s="2411"/>
      <c r="G143" s="409"/>
      <c r="H143" s="1509"/>
      <c r="I143" s="660"/>
      <c r="J143" s="580"/>
      <c r="K143" s="1509"/>
      <c r="L143" s="223"/>
      <c r="M143" s="350"/>
      <c r="N143" s="343"/>
      <c r="O143" s="1633"/>
      <c r="P143" s="1633"/>
      <c r="AH143" s="1640">
        <v>0</v>
      </c>
    </row>
    <row s="1644" customFormat="1" customHeight="1" ht="18.75" hidden="1">
      <c r="A144" s="1788" t="s">
        <v>290</v>
      </c>
      <c r="B144" s="1788" t="s">
        <v>291</v>
      </c>
      <c r="C144" s="378"/>
      <c r="D144" s="2490"/>
      <c r="E144" s="2232"/>
      <c r="F144" s="2411" t="str">
        <f>INDEX(PT_DIFFERENTIATION_VTAR,MATCH(A144,PT_DIFFERENTIATION_VTAR_ID,0))</f>
        <v>Тариф на подключение (технологическое присоединение) к централизованной системе водоотведения</v>
      </c>
      <c r="G144" s="2455" t="str">
        <f>INDEX(PT_DIFFERENTIATION_NTAR,MATCH(B144,PT_DIFFERENTIATION_NTAR_ID,0))</f>
        <v/>
      </c>
      <c r="H144" s="1868"/>
      <c r="I144" s="1747"/>
      <c r="J144" s="1781"/>
      <c r="K144" s="1786"/>
      <c r="L144" s="1868" t="s">
        <v>321</v>
      </c>
      <c r="M144" s="350"/>
      <c r="N144" s="343"/>
      <c r="O144" s="1633"/>
      <c r="P144" s="1633"/>
      <c r="AH144" s="1640">
        <v>0</v>
      </c>
    </row>
    <row s="1644" customFormat="1" customHeight="1" ht="18.75" hidden="1">
      <c r="A145" s="1788"/>
      <c r="B145" s="1788"/>
      <c r="C145" s="378" t="s">
        <v>1458</v>
      </c>
      <c r="D145" s="2490"/>
      <c r="E145" s="2232"/>
      <c r="F145" s="2411"/>
      <c r="G145" s="2455"/>
      <c r="H145" s="1509"/>
      <c r="I145" s="660" t="s">
        <v>1457</v>
      </c>
      <c r="J145" s="580"/>
      <c r="K145" s="1509"/>
      <c r="L145" s="223"/>
      <c r="M145" s="350"/>
      <c r="N145" s="343"/>
      <c r="O145" s="1633"/>
      <c r="P145" s="1633"/>
      <c r="AH145" s="1640">
        <v>0</v>
      </c>
    </row>
    <row s="1644" customFormat="1" customHeight="1" ht="1.05">
      <c r="A146" s="1788"/>
      <c r="B146" s="1788"/>
      <c r="C146" s="378" t="s">
        <v>1465</v>
      </c>
      <c r="D146" s="2490"/>
      <c r="E146" s="2232"/>
      <c r="F146" s="2411"/>
      <c r="G146" s="409"/>
      <c r="H146" s="1509"/>
      <c r="I146" s="660"/>
      <c r="J146" s="580"/>
      <c r="K146" s="1509"/>
      <c r="L146" s="223"/>
      <c r="M146" s="350"/>
      <c r="N146" s="343"/>
      <c r="O146" s="1633"/>
      <c r="P146" s="1633"/>
      <c r="AH146" s="1640">
        <v>1</v>
      </c>
    </row>
    <row customHeight="1" ht="19.95">
      <c r="A147" s="1788"/>
      <c r="B147" s="1788"/>
      <c r="D147" s="385"/>
      <c r="E147" s="156" t="s">
        <v>92</v>
      </c>
      <c r="F147" s="24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88"/>
      <c r="H147" s="2488"/>
      <c r="I147" s="2488"/>
      <c r="J147" s="2488"/>
      <c r="K147" s="2488"/>
      <c r="L147" s="2488"/>
      <c r="M147" s="306"/>
      <c r="N147" s="343"/>
      <c r="AH147" s="383">
        <v>19</v>
      </c>
    </row>
    <row s="1644" customFormat="1" customHeight="1" ht="60.75" hidden="1">
      <c r="A148" s="1788" t="s">
        <v>172</v>
      </c>
      <c r="B148" s="1788" t="s">
        <v>173</v>
      </c>
      <c r="C148" s="378"/>
      <c r="D148" s="2490"/>
      <c r="E148" s="2232"/>
      <c r="F148" s="241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55" t="str">
        <f>INDEX(PT_DIFFERENTIATION_NTAR,MATCH(B148,PT_DIFFERENTIATION_NTAR_ID,0))</f>
        <v/>
      </c>
      <c r="H148" s="1868"/>
      <c r="I148" s="1747"/>
      <c r="J148" s="1781"/>
      <c r="K148" s="1786"/>
      <c r="L148" s="1868" t="s">
        <v>321</v>
      </c>
      <c r="M148" s="2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343"/>
      <c r="O148" s="1633"/>
      <c r="P148" s="1633"/>
      <c r="AH148" s="1640">
        <v>0</v>
      </c>
    </row>
    <row s="1644" customFormat="1" customHeight="1" ht="18.75" hidden="1">
      <c r="A149" s="1788"/>
      <c r="B149" s="1788"/>
      <c r="C149" s="378" t="s">
        <v>1458</v>
      </c>
      <c r="D149" s="2490"/>
      <c r="E149" s="2232"/>
      <c r="F149" s="2411"/>
      <c r="G149" s="2455"/>
      <c r="H149" s="1509"/>
      <c r="I149" s="660" t="s">
        <v>1457</v>
      </c>
      <c r="J149" s="580"/>
      <c r="K149" s="1509"/>
      <c r="L149" s="223"/>
      <c r="M149" s="2198"/>
      <c r="N149" s="343"/>
      <c r="O149" s="1633"/>
      <c r="P149" s="1633"/>
      <c r="AH149" s="1640">
        <v>0</v>
      </c>
    </row>
    <row s="1644" customFormat="1" customHeight="1" ht="0.75" hidden="1">
      <c r="A150" s="1788"/>
      <c r="B150" s="1788"/>
      <c r="C150" s="378" t="s">
        <v>1465</v>
      </c>
      <c r="D150" s="2490"/>
      <c r="E150" s="2232"/>
      <c r="F150" s="2411"/>
      <c r="G150" s="409"/>
      <c r="H150" s="1509"/>
      <c r="I150" s="660"/>
      <c r="J150" s="580"/>
      <c r="K150" s="1509"/>
      <c r="L150" s="223"/>
      <c r="M150" s="2198"/>
      <c r="N150" s="343"/>
      <c r="O150" s="1633"/>
      <c r="P150" s="1633"/>
      <c r="AH150" s="1640">
        <v>0</v>
      </c>
    </row>
    <row s="1644" customFormat="1" customHeight="1" ht="45" hidden="1">
      <c r="A151" s="1788" t="s">
        <v>177</v>
      </c>
      <c r="B151" s="1788" t="s">
        <v>178</v>
      </c>
      <c r="C151" s="378"/>
      <c r="D151" s="2490"/>
      <c r="E151" s="2232"/>
      <c r="F151" s="2411" t="str">
        <f>INDEX(PT_DIFFERENTIATION_VTAR,MATCH(A151,PT_DIFFERENTIATION_VTAR_ID,0))</f>
        <v/>
      </c>
      <c r="G151" s="2455" t="str">
        <f>INDEX(PT_DIFFERENTIATION_NTAR,MATCH(B151,PT_DIFFERENTIATION_NTAR_ID,0))</f>
        <v/>
      </c>
      <c r="H151" s="1868"/>
      <c r="I151" s="1747"/>
      <c r="J151" s="1781"/>
      <c r="K151" s="1786"/>
      <c r="L151" s="1868" t="s">
        <v>321</v>
      </c>
      <c r="M151" s="2199"/>
      <c r="N151" s="343"/>
      <c r="O151" s="1633"/>
      <c r="P151" s="1633"/>
      <c r="AH151" s="1640">
        <v>0</v>
      </c>
    </row>
    <row s="1644" customFormat="1" customHeight="1" ht="18.75" hidden="1">
      <c r="A152" s="1788"/>
      <c r="B152" s="1788"/>
      <c r="C152" s="378" t="s">
        <v>1458</v>
      </c>
      <c r="D152" s="2490"/>
      <c r="E152" s="2232"/>
      <c r="F152" s="2411"/>
      <c r="G152" s="2455"/>
      <c r="H152" s="1509"/>
      <c r="I152" s="660" t="s">
        <v>1457</v>
      </c>
      <c r="J152" s="580"/>
      <c r="K152" s="1509"/>
      <c r="L152" s="223"/>
      <c r="M152" s="1867"/>
      <c r="N152" s="343"/>
      <c r="O152" s="1633"/>
      <c r="P152" s="1633"/>
      <c r="AH152" s="1640">
        <v>0</v>
      </c>
    </row>
    <row s="1644" customFormat="1" customHeight="1" ht="0.75" hidden="1">
      <c r="A153" s="1788"/>
      <c r="B153" s="1788"/>
      <c r="C153" s="378" t="s">
        <v>1465</v>
      </c>
      <c r="D153" s="2490"/>
      <c r="E153" s="2232"/>
      <c r="F153" s="2411"/>
      <c r="G153" s="409"/>
      <c r="H153" s="1509"/>
      <c r="I153" s="660"/>
      <c r="J153" s="580"/>
      <c r="K153" s="1509"/>
      <c r="L153" s="223"/>
      <c r="M153" s="350"/>
      <c r="N153" s="343"/>
      <c r="O153" s="1633"/>
      <c r="P153" s="1633"/>
      <c r="AH153" s="1640">
        <v>0</v>
      </c>
    </row>
    <row s="1644" customFormat="1" customHeight="1" ht="45" hidden="1">
      <c r="A154" s="1788" t="s">
        <v>184</v>
      </c>
      <c r="B154" s="1788" t="s">
        <v>185</v>
      </c>
      <c r="C154" s="378"/>
      <c r="D154" s="2490"/>
      <c r="E154" s="2232"/>
      <c r="F154" s="241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55" t="str">
        <f>INDEX(PT_DIFFERENTIATION_NTAR,MATCH(B154,PT_DIFFERENTIATION_NTAR_ID,0))</f>
        <v/>
      </c>
      <c r="H154" s="1868"/>
      <c r="I154" s="1747"/>
      <c r="J154" s="1781"/>
      <c r="K154" s="1786"/>
      <c r="L154" s="1868" t="s">
        <v>321</v>
      </c>
      <c r="M154" s="350"/>
      <c r="N154" s="343"/>
      <c r="O154" s="1633"/>
      <c r="P154" s="1633"/>
      <c r="AH154" s="1640">
        <v>0</v>
      </c>
    </row>
    <row s="1644" customFormat="1" customHeight="1" ht="18.75" hidden="1">
      <c r="A155" s="1788"/>
      <c r="B155" s="1788"/>
      <c r="C155" s="378" t="s">
        <v>1458</v>
      </c>
      <c r="D155" s="2490"/>
      <c r="E155" s="2232"/>
      <c r="F155" s="2411"/>
      <c r="G155" s="2455"/>
      <c r="H155" s="1509"/>
      <c r="I155" s="660" t="s">
        <v>1457</v>
      </c>
      <c r="J155" s="580"/>
      <c r="K155" s="1509"/>
      <c r="L155" s="223"/>
      <c r="M155" s="350"/>
      <c r="N155" s="343"/>
      <c r="O155" s="1633"/>
      <c r="P155" s="1633"/>
      <c r="AH155" s="1640">
        <v>0</v>
      </c>
    </row>
    <row s="1644" customFormat="1" customHeight="1" ht="0.75" hidden="1">
      <c r="A156" s="1788"/>
      <c r="B156" s="1788"/>
      <c r="C156" s="378" t="s">
        <v>1465</v>
      </c>
      <c r="D156" s="2490"/>
      <c r="E156" s="2232"/>
      <c r="F156" s="2411"/>
      <c r="G156" s="409"/>
      <c r="H156" s="1509"/>
      <c r="I156" s="660"/>
      <c r="J156" s="580"/>
      <c r="K156" s="1509"/>
      <c r="L156" s="223"/>
      <c r="M156" s="350"/>
      <c r="N156" s="343"/>
      <c r="O156" s="1633"/>
      <c r="P156" s="1633"/>
      <c r="AH156" s="1640">
        <v>0</v>
      </c>
    </row>
    <row s="1644" customFormat="1" customHeight="1" ht="45" hidden="1">
      <c r="A157" s="1788" t="s">
        <v>190</v>
      </c>
      <c r="B157" s="1788" t="s">
        <v>191</v>
      </c>
      <c r="C157" s="378"/>
      <c r="D157" s="2490"/>
      <c r="E157" s="2232"/>
      <c r="F157" s="241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55" t="str">
        <f>INDEX(PT_DIFFERENTIATION_NTAR,MATCH(B157,PT_DIFFERENTIATION_NTAR_ID,0))</f>
        <v/>
      </c>
      <c r="H157" s="1868"/>
      <c r="I157" s="1747"/>
      <c r="J157" s="1781"/>
      <c r="K157" s="1786"/>
      <c r="L157" s="1868" t="s">
        <v>321</v>
      </c>
      <c r="M157" s="350"/>
      <c r="N157" s="343"/>
      <c r="O157" s="1633"/>
      <c r="P157" s="1633"/>
      <c r="AH157" s="1640">
        <v>0</v>
      </c>
    </row>
    <row s="1644" customFormat="1" customHeight="1" ht="18.75" hidden="1">
      <c r="A158" s="1788"/>
      <c r="B158" s="1788"/>
      <c r="C158" s="378" t="s">
        <v>1458</v>
      </c>
      <c r="D158" s="2490"/>
      <c r="E158" s="2232"/>
      <c r="F158" s="2411"/>
      <c r="G158" s="2455"/>
      <c r="H158" s="1509"/>
      <c r="I158" s="660" t="s">
        <v>1457</v>
      </c>
      <c r="J158" s="580"/>
      <c r="K158" s="1509"/>
      <c r="L158" s="223"/>
      <c r="M158" s="350"/>
      <c r="N158" s="343"/>
      <c r="O158" s="1633"/>
      <c r="P158" s="1633"/>
      <c r="AH158" s="1640">
        <v>0</v>
      </c>
    </row>
    <row s="1644" customFormat="1" customHeight="1" ht="0.75" hidden="1">
      <c r="A159" s="1788"/>
      <c r="B159" s="1788"/>
      <c r="C159" s="378" t="s">
        <v>1465</v>
      </c>
      <c r="D159" s="2490"/>
      <c r="E159" s="2232"/>
      <c r="F159" s="2411"/>
      <c r="G159" s="409"/>
      <c r="H159" s="1509"/>
      <c r="I159" s="660"/>
      <c r="J159" s="580"/>
      <c r="K159" s="1509"/>
      <c r="L159" s="223"/>
      <c r="M159" s="350"/>
      <c r="N159" s="343"/>
      <c r="O159" s="1633"/>
      <c r="P159" s="1633"/>
      <c r="AH159" s="1640">
        <v>0</v>
      </c>
    </row>
    <row s="1644" customFormat="1" customHeight="1" ht="18.75" hidden="1">
      <c r="A160" s="1788" t="s">
        <v>196</v>
      </c>
      <c r="B160" s="1788" t="s">
        <v>197</v>
      </c>
      <c r="C160" s="378"/>
      <c r="D160" s="2490"/>
      <c r="E160" s="2232"/>
      <c r="F160" s="2411" t="str">
        <f>INDEX(PT_DIFFERENTIATION_VTAR,MATCH(A160,PT_DIFFERENTIATION_VTAR_ID,0))</f>
        <v>Тарифы на услуги по передаче тепловой энергии</v>
      </c>
      <c r="G160" s="2455" t="str">
        <f>INDEX(PT_DIFFERENTIATION_NTAR,MATCH(B160,PT_DIFFERENTIATION_NTAR_ID,0))</f>
        <v/>
      </c>
      <c r="H160" s="1868"/>
      <c r="I160" s="1747"/>
      <c r="J160" s="1781"/>
      <c r="K160" s="1786"/>
      <c r="L160" s="1868" t="s">
        <v>321</v>
      </c>
      <c r="M160" s="350"/>
      <c r="N160" s="343"/>
      <c r="O160" s="1633"/>
      <c r="P160" s="1633"/>
      <c r="AH160" s="1640">
        <v>0</v>
      </c>
    </row>
    <row s="1644" customFormat="1" customHeight="1" ht="18.75" hidden="1">
      <c r="A161" s="1788"/>
      <c r="B161" s="1788"/>
      <c r="C161" s="378" t="s">
        <v>1458</v>
      </c>
      <c r="D161" s="2490"/>
      <c r="E161" s="2232"/>
      <c r="F161" s="2411"/>
      <c r="G161" s="2455"/>
      <c r="H161" s="1509"/>
      <c r="I161" s="660" t="s">
        <v>1457</v>
      </c>
      <c r="J161" s="580"/>
      <c r="K161" s="1509"/>
      <c r="L161" s="223"/>
      <c r="M161" s="350"/>
      <c r="N161" s="343"/>
      <c r="O161" s="1633"/>
      <c r="P161" s="1633"/>
      <c r="AH161" s="1640">
        <v>0</v>
      </c>
    </row>
    <row s="1644" customFormat="1" customHeight="1" ht="0.75" hidden="1">
      <c r="A162" s="1788"/>
      <c r="B162" s="1788"/>
      <c r="C162" s="378" t="s">
        <v>1465</v>
      </c>
      <c r="D162" s="2490"/>
      <c r="E162" s="2232"/>
      <c r="F162" s="2411"/>
      <c r="G162" s="409"/>
      <c r="H162" s="1509"/>
      <c r="I162" s="660"/>
      <c r="J162" s="580"/>
      <c r="K162" s="1509"/>
      <c r="L162" s="223"/>
      <c r="M162" s="350"/>
      <c r="N162" s="343"/>
      <c r="O162" s="1633"/>
      <c r="P162" s="1633"/>
      <c r="AH162" s="1640">
        <v>0</v>
      </c>
    </row>
    <row s="1644" customFormat="1" customHeight="1" ht="18.75" hidden="1">
      <c r="A163" s="1788" t="s">
        <v>202</v>
      </c>
      <c r="B163" s="1788" t="s">
        <v>203</v>
      </c>
      <c r="C163" s="378"/>
      <c r="D163" s="2490"/>
      <c r="E163" s="2232"/>
      <c r="F163" s="2411" t="str">
        <f>INDEX(PT_DIFFERENTIATION_VTAR,MATCH(A163,PT_DIFFERENTIATION_VTAR_ID,0))</f>
        <v>Тарифы на услуги по передаче теплоносителя</v>
      </c>
      <c r="G163" s="2455" t="str">
        <f>INDEX(PT_DIFFERENTIATION_NTAR,MATCH(B163,PT_DIFFERENTIATION_NTAR_ID,0))</f>
        <v/>
      </c>
      <c r="H163" s="1868"/>
      <c r="I163" s="1747"/>
      <c r="J163" s="1781"/>
      <c r="K163" s="1786"/>
      <c r="L163" s="1868" t="s">
        <v>321</v>
      </c>
      <c r="M163" s="350"/>
      <c r="N163" s="343"/>
      <c r="O163" s="1633"/>
      <c r="P163" s="1633"/>
      <c r="AH163" s="1640">
        <v>0</v>
      </c>
    </row>
    <row s="1644" customFormat="1" customHeight="1" ht="18.75" hidden="1">
      <c r="A164" s="1788"/>
      <c r="B164" s="1788"/>
      <c r="C164" s="378" t="s">
        <v>1458</v>
      </c>
      <c r="D164" s="2490"/>
      <c r="E164" s="2232"/>
      <c r="F164" s="2411"/>
      <c r="G164" s="2455"/>
      <c r="H164" s="1509"/>
      <c r="I164" s="660" t="s">
        <v>1457</v>
      </c>
      <c r="J164" s="580"/>
      <c r="K164" s="1509"/>
      <c r="L164" s="223"/>
      <c r="M164" s="350"/>
      <c r="N164" s="343"/>
      <c r="O164" s="1633"/>
      <c r="P164" s="1633"/>
      <c r="AH164" s="1640">
        <v>0</v>
      </c>
    </row>
    <row s="1644" customFormat="1" customHeight="1" ht="0.75" hidden="1">
      <c r="A165" s="1788"/>
      <c r="B165" s="1788"/>
      <c r="C165" s="378" t="s">
        <v>1465</v>
      </c>
      <c r="D165" s="2490"/>
      <c r="E165" s="2232"/>
      <c r="F165" s="2411"/>
      <c r="G165" s="409"/>
      <c r="H165" s="1509"/>
      <c r="I165" s="660"/>
      <c r="J165" s="580"/>
      <c r="K165" s="1509"/>
      <c r="L165" s="223"/>
      <c r="M165" s="350"/>
      <c r="N165" s="343"/>
      <c r="O165" s="1633"/>
      <c r="P165" s="1633"/>
      <c r="AH165" s="1640">
        <v>0</v>
      </c>
    </row>
    <row s="1644" customFormat="1" customHeight="1" ht="18.75" hidden="1">
      <c r="A166" s="1788" t="s">
        <v>208</v>
      </c>
      <c r="B166" s="1788" t="s">
        <v>209</v>
      </c>
      <c r="C166" s="378"/>
      <c r="D166" s="2490"/>
      <c r="E166" s="2232"/>
      <c r="F166" s="241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55" t="str">
        <f>INDEX(PT_DIFFERENTIATION_NTAR,MATCH(B166,PT_DIFFERENTIATION_NTAR_ID,0))</f>
        <v/>
      </c>
      <c r="H166" s="1868"/>
      <c r="I166" s="1747"/>
      <c r="J166" s="1781"/>
      <c r="K166" s="1786"/>
      <c r="L166" s="1868" t="s">
        <v>321</v>
      </c>
      <c r="M166" s="350"/>
      <c r="N166" s="343"/>
      <c r="O166" s="1633"/>
      <c r="P166" s="1633"/>
      <c r="AH166" s="1640">
        <v>0</v>
      </c>
    </row>
    <row s="1644" customFormat="1" customHeight="1" ht="18.75" hidden="1">
      <c r="A167" s="1788"/>
      <c r="B167" s="1788"/>
      <c r="C167" s="378" t="s">
        <v>1458</v>
      </c>
      <c r="D167" s="2490"/>
      <c r="E167" s="2232"/>
      <c r="F167" s="2411"/>
      <c r="G167" s="2455"/>
      <c r="H167" s="1509"/>
      <c r="I167" s="660" t="s">
        <v>1457</v>
      </c>
      <c r="J167" s="580"/>
      <c r="K167" s="1509"/>
      <c r="L167" s="223"/>
      <c r="M167" s="350"/>
      <c r="N167" s="343"/>
      <c r="O167" s="1633"/>
      <c r="P167" s="1633"/>
      <c r="AH167" s="1640">
        <v>0</v>
      </c>
    </row>
    <row s="1644" customFormat="1" customHeight="1" ht="0.75" hidden="1">
      <c r="A168" s="1788"/>
      <c r="B168" s="1788"/>
      <c r="C168" s="378" t="s">
        <v>1465</v>
      </c>
      <c r="D168" s="2490"/>
      <c r="E168" s="2232"/>
      <c r="F168" s="2411"/>
      <c r="G168" s="409"/>
      <c r="H168" s="1509"/>
      <c r="I168" s="660"/>
      <c r="J168" s="580"/>
      <c r="K168" s="1509"/>
      <c r="L168" s="223"/>
      <c r="M168" s="350"/>
      <c r="N168" s="343"/>
      <c r="O168" s="1633"/>
      <c r="P168" s="1633"/>
      <c r="AH168" s="1640">
        <v>0</v>
      </c>
    </row>
    <row s="1644" customFormat="1" customHeight="1" ht="18.75" hidden="1">
      <c r="A169" s="1788" t="s">
        <v>214</v>
      </c>
      <c r="B169" s="1788" t="s">
        <v>215</v>
      </c>
      <c r="C169" s="378"/>
      <c r="D169" s="2490"/>
      <c r="E169" s="2232"/>
      <c r="F169" s="2411" t="str">
        <f>INDEX(PT_DIFFERENTIATION_VTAR,MATCH(A169,PT_DIFFERENTIATION_VTAR_ID,0))</f>
        <v>Плата за подключение (технологическое присоединение) к системе теплоснабжения</v>
      </c>
      <c r="G169" s="2455" t="str">
        <f>INDEX(PT_DIFFERENTIATION_NTAR,MATCH(B169,PT_DIFFERENTIATION_NTAR_ID,0))</f>
        <v/>
      </c>
      <c r="H169" s="1868"/>
      <c r="I169" s="1747"/>
      <c r="J169" s="1781"/>
      <c r="K169" s="1786"/>
      <c r="L169" s="1868" t="s">
        <v>321</v>
      </c>
      <c r="M169" s="350"/>
      <c r="N169" s="343"/>
      <c r="O169" s="1633"/>
      <c r="P169" s="1633"/>
      <c r="AH169" s="1640">
        <v>0</v>
      </c>
    </row>
    <row s="1644" customFormat="1" customHeight="1" ht="18.75" hidden="1">
      <c r="A170" s="1788"/>
      <c r="B170" s="1788"/>
      <c r="C170" s="378" t="s">
        <v>1458</v>
      </c>
      <c r="D170" s="2490"/>
      <c r="E170" s="2232"/>
      <c r="F170" s="2411"/>
      <c r="G170" s="2455"/>
      <c r="H170" s="1509"/>
      <c r="I170" s="660" t="s">
        <v>1457</v>
      </c>
      <c r="J170" s="580"/>
      <c r="K170" s="1509"/>
      <c r="L170" s="223"/>
      <c r="M170" s="350"/>
      <c r="N170" s="343"/>
      <c r="O170" s="1633"/>
      <c r="P170" s="1633"/>
      <c r="AH170" s="1640">
        <v>0</v>
      </c>
    </row>
    <row s="1644" customFormat="1" customHeight="1" ht="0.75" hidden="1">
      <c r="A171" s="1788"/>
      <c r="B171" s="1788"/>
      <c r="C171" s="378" t="s">
        <v>1465</v>
      </c>
      <c r="D171" s="2490"/>
      <c r="E171" s="2232"/>
      <c r="F171" s="2411"/>
      <c r="G171" s="409"/>
      <c r="H171" s="1509"/>
      <c r="I171" s="660"/>
      <c r="J171" s="580"/>
      <c r="K171" s="1509"/>
      <c r="L171" s="223"/>
      <c r="M171" s="350"/>
      <c r="N171" s="343"/>
      <c r="O171" s="1633"/>
      <c r="P171" s="1633"/>
      <c r="AH171" s="1640">
        <v>0</v>
      </c>
    </row>
    <row s="1644" customFormat="1" customHeight="1" ht="18.75" hidden="1">
      <c r="A172" s="1788" t="s">
        <v>220</v>
      </c>
      <c r="B172" s="1788" t="s">
        <v>221</v>
      </c>
      <c r="C172" s="378"/>
      <c r="D172" s="2490"/>
      <c r="E172" s="2232"/>
      <c r="F172" s="2411" t="str">
        <f>INDEX(PT_DIFFERENTIATION_VTAR,MATCH(A172,PT_DIFFERENTIATION_VTAR_ID,0))</f>
        <v>Плата за подключение (технологическое присоединение) к системе теплоснабжения (индивидуальная)</v>
      </c>
      <c r="G172" s="2455" t="str">
        <f>INDEX(PT_DIFFERENTIATION_NTAR,MATCH(B172,PT_DIFFERENTIATION_NTAR_ID,0))</f>
        <v/>
      </c>
      <c r="H172" s="1995"/>
      <c r="I172" s="1747"/>
      <c r="J172" s="1781"/>
      <c r="K172" s="1786"/>
      <c r="L172" s="1995" t="s">
        <v>321</v>
      </c>
      <c r="M172" s="350"/>
      <c r="N172" s="343"/>
      <c r="O172" s="1633"/>
      <c r="P172" s="1633"/>
      <c r="AH172" s="1640">
        <v>0</v>
      </c>
    </row>
    <row s="1644" customFormat="1" customHeight="1" ht="18.75" hidden="1">
      <c r="A173" s="1788"/>
      <c r="B173" s="1788"/>
      <c r="C173" s="378" t="s">
        <v>1458</v>
      </c>
      <c r="D173" s="2490"/>
      <c r="E173" s="2232"/>
      <c r="F173" s="2411"/>
      <c r="G173" s="2455"/>
      <c r="H173" s="1509"/>
      <c r="I173" s="660" t="s">
        <v>1457</v>
      </c>
      <c r="J173" s="580"/>
      <c r="K173" s="1509"/>
      <c r="L173" s="223"/>
      <c r="M173" s="350"/>
      <c r="N173" s="343"/>
      <c r="O173" s="1633"/>
      <c r="P173" s="1633"/>
      <c r="AH173" s="1640">
        <v>0</v>
      </c>
    </row>
    <row s="1644" customFormat="1" customHeight="1" ht="0.75" hidden="1">
      <c r="A174" s="1788"/>
      <c r="B174" s="1788"/>
      <c r="C174" s="378" t="s">
        <v>1465</v>
      </c>
      <c r="D174" s="2490"/>
      <c r="E174" s="2232"/>
      <c r="F174" s="2411"/>
      <c r="G174" s="409"/>
      <c r="H174" s="1509"/>
      <c r="I174" s="660"/>
      <c r="J174" s="580"/>
      <c r="K174" s="1509"/>
      <c r="L174" s="223"/>
      <c r="M174" s="350"/>
      <c r="N174" s="343"/>
      <c r="O174" s="1633"/>
      <c r="P174" s="1633"/>
      <c r="AH174" s="1640">
        <v>0</v>
      </c>
    </row>
    <row s="1644" customFormat="1" customHeight="1" ht="18.75" hidden="1">
      <c r="A175" s="1788" t="s">
        <v>240</v>
      </c>
      <c r="B175" s="1788" t="s">
        <v>241</v>
      </c>
      <c r="C175" s="378"/>
      <c r="D175" s="2490"/>
      <c r="E175" s="2232"/>
      <c r="F175" s="2411" t="str">
        <f>INDEX(PT_DIFFERENTIATION_VTAR,MATCH(A175,PT_DIFFERENTIATION_VTAR_ID,0))</f>
        <v>Тариф на питьевую воду (питьевое водоснабжение)</v>
      </c>
      <c r="G175" s="2455" t="str">
        <f>INDEX(PT_DIFFERENTIATION_NTAR,MATCH(B175,PT_DIFFERENTIATION_NTAR_ID,0))</f>
        <v/>
      </c>
      <c r="H175" s="1868"/>
      <c r="I175" s="1747"/>
      <c r="J175" s="1781"/>
      <c r="K175" s="1786"/>
      <c r="L175" s="1868" t="s">
        <v>321</v>
      </c>
      <c r="M175" s="350"/>
      <c r="N175" s="343"/>
      <c r="O175" s="1633"/>
      <c r="P175" s="1633"/>
      <c r="AH175" s="1640">
        <v>0</v>
      </c>
    </row>
    <row s="1644" customFormat="1" customHeight="1" ht="18.75" hidden="1">
      <c r="A176" s="1788"/>
      <c r="B176" s="1788"/>
      <c r="C176" s="378" t="s">
        <v>1458</v>
      </c>
      <c r="D176" s="2490"/>
      <c r="E176" s="2232"/>
      <c r="F176" s="2411"/>
      <c r="G176" s="2455"/>
      <c r="H176" s="1509"/>
      <c r="I176" s="660" t="s">
        <v>1457</v>
      </c>
      <c r="J176" s="580"/>
      <c r="K176" s="1509"/>
      <c r="L176" s="223"/>
      <c r="M176" s="350"/>
      <c r="N176" s="343"/>
      <c r="O176" s="1633"/>
      <c r="P176" s="1633"/>
      <c r="AH176" s="1640">
        <v>0</v>
      </c>
    </row>
    <row s="1644" customFormat="1" customHeight="1" ht="0.75" hidden="1">
      <c r="A177" s="1788"/>
      <c r="B177" s="1788"/>
      <c r="C177" s="378" t="s">
        <v>1465</v>
      </c>
      <c r="D177" s="2490"/>
      <c r="E177" s="2232"/>
      <c r="F177" s="2411"/>
      <c r="G177" s="409"/>
      <c r="H177" s="1509"/>
      <c r="I177" s="660"/>
      <c r="J177" s="580"/>
      <c r="K177" s="1509"/>
      <c r="L177" s="223"/>
      <c r="M177" s="350"/>
      <c r="N177" s="343"/>
      <c r="O177" s="1633"/>
      <c r="P177" s="1633"/>
      <c r="AH177" s="1640">
        <v>0</v>
      </c>
    </row>
    <row s="1644" customFormat="1" customHeight="1" ht="18.75" hidden="1">
      <c r="A178" s="1788" t="s">
        <v>245</v>
      </c>
      <c r="B178" s="1788" t="s">
        <v>246</v>
      </c>
      <c r="C178" s="378"/>
      <c r="D178" s="2490"/>
      <c r="E178" s="2232"/>
      <c r="F178" s="2411" t="str">
        <f>INDEX(PT_DIFFERENTIATION_VTAR,MATCH(A178,PT_DIFFERENTIATION_VTAR_ID,0))</f>
        <v>Тариф на техническую воду</v>
      </c>
      <c r="G178" s="2455" t="str">
        <f>INDEX(PT_DIFFERENTIATION_NTAR,MATCH(B178,PT_DIFFERENTIATION_NTAR_ID,0))</f>
        <v/>
      </c>
      <c r="H178" s="1868"/>
      <c r="I178" s="1747"/>
      <c r="J178" s="1781"/>
      <c r="K178" s="1786"/>
      <c r="L178" s="1868" t="s">
        <v>321</v>
      </c>
      <c r="M178" s="350"/>
      <c r="N178" s="343"/>
      <c r="O178" s="1633"/>
      <c r="P178" s="1633"/>
      <c r="AH178" s="1640">
        <v>0</v>
      </c>
    </row>
    <row s="1644" customFormat="1" customHeight="1" ht="18.75" hidden="1">
      <c r="A179" s="1788"/>
      <c r="B179" s="1788"/>
      <c r="C179" s="378" t="s">
        <v>1458</v>
      </c>
      <c r="D179" s="2490"/>
      <c r="E179" s="2232"/>
      <c r="F179" s="2411"/>
      <c r="G179" s="2455"/>
      <c r="H179" s="1509"/>
      <c r="I179" s="660" t="s">
        <v>1457</v>
      </c>
      <c r="J179" s="580"/>
      <c r="K179" s="1509"/>
      <c r="L179" s="223"/>
      <c r="M179" s="350"/>
      <c r="N179" s="343"/>
      <c r="O179" s="1633"/>
      <c r="P179" s="1633"/>
      <c r="AH179" s="1640">
        <v>0</v>
      </c>
    </row>
    <row s="1644" customFormat="1" customHeight="1" ht="0.75" hidden="1">
      <c r="A180" s="1788"/>
      <c r="B180" s="1788"/>
      <c r="C180" s="378" t="s">
        <v>1465</v>
      </c>
      <c r="D180" s="2490"/>
      <c r="E180" s="2232"/>
      <c r="F180" s="2411"/>
      <c r="G180" s="409"/>
      <c r="H180" s="1509"/>
      <c r="I180" s="660"/>
      <c r="J180" s="580"/>
      <c r="K180" s="1509"/>
      <c r="L180" s="223"/>
      <c r="M180" s="350"/>
      <c r="N180" s="343"/>
      <c r="O180" s="1633"/>
      <c r="P180" s="1633"/>
      <c r="AH180" s="1640">
        <v>0</v>
      </c>
    </row>
    <row s="1644" customFormat="1" customHeight="1" ht="18.75" hidden="1">
      <c r="A181" s="1788" t="s">
        <v>250</v>
      </c>
      <c r="B181" s="1788" t="s">
        <v>251</v>
      </c>
      <c r="C181" s="378"/>
      <c r="D181" s="2490"/>
      <c r="E181" s="2232"/>
      <c r="F181" s="2411" t="str">
        <f>INDEX(PT_DIFFERENTIATION_VTAR,MATCH(A181,PT_DIFFERENTIATION_VTAR_ID,0))</f>
        <v>Тариф на транспортировку воды</v>
      </c>
      <c r="G181" s="2455" t="str">
        <f>INDEX(PT_DIFFERENTIATION_NTAR,MATCH(B181,PT_DIFFERENTIATION_NTAR_ID,0))</f>
        <v/>
      </c>
      <c r="H181" s="1868"/>
      <c r="I181" s="1747"/>
      <c r="J181" s="1781"/>
      <c r="K181" s="1786"/>
      <c r="L181" s="1868" t="s">
        <v>321</v>
      </c>
      <c r="M181" s="350"/>
      <c r="N181" s="343"/>
      <c r="O181" s="1633"/>
      <c r="P181" s="1633"/>
      <c r="AH181" s="1640">
        <v>0</v>
      </c>
    </row>
    <row s="1644" customFormat="1" customHeight="1" ht="18.75" hidden="1">
      <c r="A182" s="1788"/>
      <c r="B182" s="1788"/>
      <c r="C182" s="378" t="s">
        <v>1458</v>
      </c>
      <c r="D182" s="2490"/>
      <c r="E182" s="2232"/>
      <c r="F182" s="2411"/>
      <c r="G182" s="2455"/>
      <c r="H182" s="1509"/>
      <c r="I182" s="660" t="s">
        <v>1457</v>
      </c>
      <c r="J182" s="580"/>
      <c r="K182" s="1509"/>
      <c r="L182" s="223"/>
      <c r="M182" s="350"/>
      <c r="N182" s="343"/>
      <c r="O182" s="1633"/>
      <c r="P182" s="1633"/>
      <c r="AH182" s="1640">
        <v>0</v>
      </c>
    </row>
    <row s="1644" customFormat="1" customHeight="1" ht="0.75" hidden="1">
      <c r="A183" s="1788"/>
      <c r="B183" s="1788"/>
      <c r="C183" s="378" t="s">
        <v>1465</v>
      </c>
      <c r="D183" s="2490"/>
      <c r="E183" s="2232"/>
      <c r="F183" s="2411"/>
      <c r="G183" s="409"/>
      <c r="H183" s="1509"/>
      <c r="I183" s="660"/>
      <c r="J183" s="580"/>
      <c r="K183" s="1509"/>
      <c r="L183" s="223"/>
      <c r="M183" s="350"/>
      <c r="N183" s="343"/>
      <c r="O183" s="1633"/>
      <c r="P183" s="1633"/>
      <c r="AH183" s="1640">
        <v>0</v>
      </c>
    </row>
    <row s="1644" customFormat="1" customHeight="1" ht="18.75" hidden="1">
      <c r="A184" s="1788" t="s">
        <v>255</v>
      </c>
      <c r="B184" s="1788" t="s">
        <v>256</v>
      </c>
      <c r="C184" s="378"/>
      <c r="D184" s="2490"/>
      <c r="E184" s="2232"/>
      <c r="F184" s="2411" t="str">
        <f>INDEX(PT_DIFFERENTIATION_VTAR,MATCH(A184,PT_DIFFERENTIATION_VTAR_ID,0))</f>
        <v>Тариф на подвоз воды</v>
      </c>
      <c r="G184" s="2455" t="str">
        <f>INDEX(PT_DIFFERENTIATION_NTAR,MATCH(B184,PT_DIFFERENTIATION_NTAR_ID,0))</f>
        <v/>
      </c>
      <c r="H184" s="1868"/>
      <c r="I184" s="1747"/>
      <c r="J184" s="1781"/>
      <c r="K184" s="1786"/>
      <c r="L184" s="1868" t="s">
        <v>321</v>
      </c>
      <c r="M184" s="350"/>
      <c r="N184" s="343"/>
      <c r="O184" s="1633"/>
      <c r="P184" s="1633"/>
      <c r="AH184" s="1640">
        <v>0</v>
      </c>
    </row>
    <row s="1644" customFormat="1" customHeight="1" ht="18.75" hidden="1">
      <c r="A185" s="1788"/>
      <c r="B185" s="1788"/>
      <c r="C185" s="378" t="s">
        <v>1458</v>
      </c>
      <c r="D185" s="2490"/>
      <c r="E185" s="2232"/>
      <c r="F185" s="2411"/>
      <c r="G185" s="2455"/>
      <c r="H185" s="1509"/>
      <c r="I185" s="660" t="s">
        <v>1457</v>
      </c>
      <c r="J185" s="580"/>
      <c r="K185" s="1509"/>
      <c r="L185" s="223"/>
      <c r="M185" s="350"/>
      <c r="N185" s="343"/>
      <c r="O185" s="1633"/>
      <c r="P185" s="1633"/>
      <c r="AH185" s="1640">
        <v>0</v>
      </c>
    </row>
    <row s="1644" customFormat="1" customHeight="1" ht="0.75" hidden="1">
      <c r="A186" s="1788"/>
      <c r="B186" s="1788"/>
      <c r="C186" s="378" t="s">
        <v>1465</v>
      </c>
      <c r="D186" s="2490"/>
      <c r="E186" s="2232"/>
      <c r="F186" s="2411"/>
      <c r="G186" s="409"/>
      <c r="H186" s="1509"/>
      <c r="I186" s="660"/>
      <c r="J186" s="580"/>
      <c r="K186" s="1509"/>
      <c r="L186" s="223"/>
      <c r="M186" s="350"/>
      <c r="N186" s="343"/>
      <c r="O186" s="1633"/>
      <c r="P186" s="1633"/>
      <c r="AH186" s="1640">
        <v>0</v>
      </c>
    </row>
    <row s="1644" customFormat="1" customHeight="1" ht="18.75" hidden="1">
      <c r="A187" s="1788" t="s">
        <v>260</v>
      </c>
      <c r="B187" s="1788" t="s">
        <v>261</v>
      </c>
      <c r="C187" s="378"/>
      <c r="D187" s="2490"/>
      <c r="E187" s="2232"/>
      <c r="F187" s="241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55" t="str">
        <f>INDEX(PT_DIFFERENTIATION_NTAR,MATCH(B187,PT_DIFFERENTIATION_NTAR_ID,0))</f>
        <v/>
      </c>
      <c r="H187" s="1868"/>
      <c r="I187" s="1747"/>
      <c r="J187" s="1781"/>
      <c r="K187" s="1786"/>
      <c r="L187" s="1868" t="s">
        <v>321</v>
      </c>
      <c r="M187" s="350"/>
      <c r="N187" s="343"/>
      <c r="O187" s="1633"/>
      <c r="P187" s="1633"/>
      <c r="AH187" s="1640">
        <v>0</v>
      </c>
    </row>
    <row s="1644" customFormat="1" customHeight="1" ht="18.75" hidden="1">
      <c r="A188" s="1788"/>
      <c r="B188" s="1788"/>
      <c r="C188" s="378" t="s">
        <v>1458</v>
      </c>
      <c r="D188" s="2490"/>
      <c r="E188" s="2232"/>
      <c r="F188" s="2411"/>
      <c r="G188" s="2455"/>
      <c r="H188" s="1509"/>
      <c r="I188" s="660" t="s">
        <v>1457</v>
      </c>
      <c r="J188" s="580"/>
      <c r="K188" s="1509"/>
      <c r="L188" s="223"/>
      <c r="M188" s="350"/>
      <c r="N188" s="343"/>
      <c r="O188" s="1633"/>
      <c r="P188" s="1633"/>
      <c r="AH188" s="1640">
        <v>0</v>
      </c>
    </row>
    <row s="1644" customFormat="1" customHeight="1" ht="0.75" hidden="1">
      <c r="A189" s="1788"/>
      <c r="B189" s="1788"/>
      <c r="C189" s="378" t="s">
        <v>1465</v>
      </c>
      <c r="D189" s="2490"/>
      <c r="E189" s="2232"/>
      <c r="F189" s="2411"/>
      <c r="G189" s="409"/>
      <c r="H189" s="1509"/>
      <c r="I189" s="660"/>
      <c r="J189" s="580"/>
      <c r="K189" s="1509"/>
      <c r="L189" s="223"/>
      <c r="M189" s="350"/>
      <c r="N189" s="343"/>
      <c r="O189" s="1633"/>
      <c r="P189" s="1633"/>
      <c r="AH189" s="1640">
        <v>0</v>
      </c>
    </row>
    <row s="1644" customFormat="1" customHeight="1" ht="18.75" hidden="1">
      <c r="A190" s="1788" t="s">
        <v>265</v>
      </c>
      <c r="B190" s="1788" t="s">
        <v>266</v>
      </c>
      <c r="C190" s="378"/>
      <c r="D190" s="2490"/>
      <c r="E190" s="2232"/>
      <c r="F190" s="2411" t="str">
        <f>INDEX(PT_DIFFERENTIATION_VTAR,MATCH(A190,PT_DIFFERENTIATION_VTAR_ID,0))</f>
        <v>Тариф на горячую воду (горячее водоснабжение)</v>
      </c>
      <c r="G190" s="2455" t="str">
        <f>INDEX(PT_DIFFERENTIATION_NTAR,MATCH(B190,PT_DIFFERENTIATION_NTAR_ID,0))</f>
        <v/>
      </c>
      <c r="H190" s="1868"/>
      <c r="I190" s="1747"/>
      <c r="J190" s="1781"/>
      <c r="K190" s="1786"/>
      <c r="L190" s="1868" t="s">
        <v>321</v>
      </c>
      <c r="M190" s="350"/>
      <c r="N190" s="343"/>
      <c r="O190" s="1633"/>
      <c r="P190" s="1633"/>
      <c r="AH190" s="1640">
        <v>0</v>
      </c>
    </row>
    <row s="1644" customFormat="1" customHeight="1" ht="18.75" hidden="1">
      <c r="A191" s="1788"/>
      <c r="B191" s="1788"/>
      <c r="C191" s="378" t="s">
        <v>1458</v>
      </c>
      <c r="D191" s="2490"/>
      <c r="E191" s="2232"/>
      <c r="F191" s="2411"/>
      <c r="G191" s="2455"/>
      <c r="H191" s="1509"/>
      <c r="I191" s="660" t="s">
        <v>1457</v>
      </c>
      <c r="J191" s="580"/>
      <c r="K191" s="1509"/>
      <c r="L191" s="223"/>
      <c r="M191" s="350"/>
      <c r="N191" s="343"/>
      <c r="O191" s="1633"/>
      <c r="P191" s="1633"/>
      <c r="AH191" s="1640">
        <v>0</v>
      </c>
    </row>
    <row s="1644" customFormat="1" customHeight="1" ht="0.75" hidden="1">
      <c r="A192" s="1788"/>
      <c r="B192" s="1788"/>
      <c r="C192" s="378" t="s">
        <v>1465</v>
      </c>
      <c r="D192" s="2490"/>
      <c r="E192" s="2232"/>
      <c r="F192" s="2411"/>
      <c r="G192" s="409"/>
      <c r="H192" s="1509"/>
      <c r="I192" s="660"/>
      <c r="J192" s="580"/>
      <c r="K192" s="1509"/>
      <c r="L192" s="223"/>
      <c r="M192" s="350"/>
      <c r="N192" s="343"/>
      <c r="O192" s="1633"/>
      <c r="P192" s="1633"/>
      <c r="AH192" s="1640">
        <v>0</v>
      </c>
    </row>
    <row s="1644" customFormat="1" customHeight="1" ht="18.75" hidden="1">
      <c r="A193" s="1788" t="s">
        <v>270</v>
      </c>
      <c r="B193" s="1788" t="s">
        <v>271</v>
      </c>
      <c r="C193" s="378"/>
      <c r="D193" s="2490"/>
      <c r="E193" s="2232"/>
      <c r="F193" s="2411" t="str">
        <f>INDEX(PT_DIFFERENTIATION_VTAR,MATCH(A193,PT_DIFFERENTIATION_VTAR_ID,0))</f>
        <v>Тариф на транспортировку горячей воды</v>
      </c>
      <c r="G193" s="2455" t="str">
        <f>INDEX(PT_DIFFERENTIATION_NTAR,MATCH(B193,PT_DIFFERENTIATION_NTAR_ID,0))</f>
        <v/>
      </c>
      <c r="H193" s="1868"/>
      <c r="I193" s="1747"/>
      <c r="J193" s="1781"/>
      <c r="K193" s="1786"/>
      <c r="L193" s="1868" t="s">
        <v>321</v>
      </c>
      <c r="M193" s="350"/>
      <c r="N193" s="343"/>
      <c r="O193" s="1633"/>
      <c r="P193" s="1633"/>
      <c r="AH193" s="1640">
        <v>0</v>
      </c>
    </row>
    <row s="1644" customFormat="1" customHeight="1" ht="18.75" hidden="1">
      <c r="A194" s="1788"/>
      <c r="B194" s="1788"/>
      <c r="C194" s="378" t="s">
        <v>1458</v>
      </c>
      <c r="D194" s="2490"/>
      <c r="E194" s="2232"/>
      <c r="F194" s="2411"/>
      <c r="G194" s="2455"/>
      <c r="H194" s="1509"/>
      <c r="I194" s="660" t="s">
        <v>1457</v>
      </c>
      <c r="J194" s="580"/>
      <c r="K194" s="1509"/>
      <c r="L194" s="223"/>
      <c r="M194" s="350"/>
      <c r="N194" s="343"/>
      <c r="O194" s="1633"/>
      <c r="P194" s="1633"/>
      <c r="AH194" s="1640">
        <v>0</v>
      </c>
    </row>
    <row s="1644" customFormat="1" customHeight="1" ht="0.75" hidden="1">
      <c r="A195" s="1788"/>
      <c r="B195" s="1788"/>
      <c r="C195" s="378" t="s">
        <v>1465</v>
      </c>
      <c r="D195" s="2490"/>
      <c r="E195" s="2232"/>
      <c r="F195" s="2411"/>
      <c r="G195" s="409"/>
      <c r="H195" s="1509"/>
      <c r="I195" s="660"/>
      <c r="J195" s="580"/>
      <c r="K195" s="1509"/>
      <c r="L195" s="223"/>
      <c r="M195" s="350"/>
      <c r="N195" s="343"/>
      <c r="O195" s="1633"/>
      <c r="P195" s="1633"/>
      <c r="AH195" s="1640">
        <v>0</v>
      </c>
    </row>
    <row s="1644" customFormat="1" customHeight="1" ht="18.75" hidden="1">
      <c r="A196" s="1788" t="s">
        <v>275</v>
      </c>
      <c r="B196" s="1788" t="s">
        <v>276</v>
      </c>
      <c r="C196" s="378"/>
      <c r="D196" s="2490"/>
      <c r="E196" s="2232"/>
      <c r="F196" s="241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55" t="str">
        <f>INDEX(PT_DIFFERENTIATION_NTAR,MATCH(B196,PT_DIFFERENTIATION_NTAR_ID,0))</f>
        <v/>
      </c>
      <c r="H196" s="1868"/>
      <c r="I196" s="1747"/>
      <c r="J196" s="1781"/>
      <c r="K196" s="1786"/>
      <c r="L196" s="1868" t="s">
        <v>321</v>
      </c>
      <c r="M196" s="350"/>
      <c r="N196" s="343"/>
      <c r="O196" s="1633"/>
      <c r="P196" s="1633"/>
      <c r="AH196" s="1640">
        <v>0</v>
      </c>
    </row>
    <row s="1644" customFormat="1" customHeight="1" ht="18.75" hidden="1">
      <c r="A197" s="1788"/>
      <c r="B197" s="1788"/>
      <c r="C197" s="378" t="s">
        <v>1458</v>
      </c>
      <c r="D197" s="2490"/>
      <c r="E197" s="2232"/>
      <c r="F197" s="2411"/>
      <c r="G197" s="2455"/>
      <c r="H197" s="1509"/>
      <c r="I197" s="660" t="s">
        <v>1457</v>
      </c>
      <c r="J197" s="580"/>
      <c r="K197" s="1509"/>
      <c r="L197" s="223"/>
      <c r="M197" s="350"/>
      <c r="N197" s="343"/>
      <c r="O197" s="1633"/>
      <c r="P197" s="1633"/>
      <c r="AH197" s="1640">
        <v>0</v>
      </c>
    </row>
    <row s="1644" customFormat="1" customHeight="1" ht="0.75" hidden="1">
      <c r="A198" s="1788"/>
      <c r="B198" s="1788"/>
      <c r="C198" s="378" t="s">
        <v>1465</v>
      </c>
      <c r="D198" s="2490"/>
      <c r="E198" s="2232"/>
      <c r="F198" s="2411"/>
      <c r="G198" s="409"/>
      <c r="H198" s="1509"/>
      <c r="I198" s="660"/>
      <c r="J198" s="580"/>
      <c r="K198" s="1509"/>
      <c r="L198" s="223"/>
      <c r="M198" s="350"/>
      <c r="N198" s="343"/>
      <c r="O198" s="1633"/>
      <c r="P198" s="1633"/>
      <c r="AH198" s="1640">
        <v>0</v>
      </c>
    </row>
    <row s="1644" customFormat="1" customHeight="1" ht="18.75" hidden="1">
      <c r="A199" s="1788" t="s">
        <v>280</v>
      </c>
      <c r="B199" s="1788" t="s">
        <v>281</v>
      </c>
      <c r="C199" s="378"/>
      <c r="D199" s="2490"/>
      <c r="E199" s="2232"/>
      <c r="F199" s="2411" t="str">
        <f>INDEX(PT_DIFFERENTIATION_VTAR,MATCH(A199,PT_DIFFERENTIATION_VTAR_ID,0))</f>
        <v>Тариф на водоотведение</v>
      </c>
      <c r="G199" s="2455" t="str">
        <f>INDEX(PT_DIFFERENTIATION_NTAR,MATCH(B199,PT_DIFFERENTIATION_NTAR_ID,0))</f>
        <v/>
      </c>
      <c r="H199" s="1868"/>
      <c r="I199" s="1747"/>
      <c r="J199" s="1781"/>
      <c r="K199" s="1786"/>
      <c r="L199" s="1868" t="s">
        <v>321</v>
      </c>
      <c r="M199" s="350"/>
      <c r="N199" s="343"/>
      <c r="O199" s="1633"/>
      <c r="P199" s="1633"/>
      <c r="AH199" s="1640">
        <v>0</v>
      </c>
    </row>
    <row s="1644" customFormat="1" customHeight="1" ht="18.75" hidden="1">
      <c r="A200" s="1788"/>
      <c r="B200" s="1788"/>
      <c r="C200" s="378" t="s">
        <v>1458</v>
      </c>
      <c r="D200" s="2490"/>
      <c r="E200" s="2232"/>
      <c r="F200" s="2411"/>
      <c r="G200" s="2455"/>
      <c r="H200" s="1509"/>
      <c r="I200" s="660" t="s">
        <v>1457</v>
      </c>
      <c r="J200" s="580"/>
      <c r="K200" s="1509"/>
      <c r="L200" s="223"/>
      <c r="M200" s="350"/>
      <c r="N200" s="343"/>
      <c r="O200" s="1633"/>
      <c r="P200" s="1633"/>
      <c r="AH200" s="1640">
        <v>0</v>
      </c>
    </row>
    <row s="1644" customFormat="1" customHeight="1" ht="0.75" hidden="1">
      <c r="A201" s="1788"/>
      <c r="B201" s="1788"/>
      <c r="C201" s="378" t="s">
        <v>1465</v>
      </c>
      <c r="D201" s="2490"/>
      <c r="E201" s="2232"/>
      <c r="F201" s="2411"/>
      <c r="G201" s="409"/>
      <c r="H201" s="1509"/>
      <c r="I201" s="660"/>
      <c r="J201" s="580"/>
      <c r="K201" s="1509"/>
      <c r="L201" s="223"/>
      <c r="M201" s="350"/>
      <c r="N201" s="343"/>
      <c r="O201" s="1633"/>
      <c r="P201" s="1633"/>
      <c r="AH201" s="1640">
        <v>0</v>
      </c>
    </row>
    <row s="1644" customFormat="1" customHeight="1" ht="18.75" hidden="1">
      <c r="A202" s="1788" t="s">
        <v>285</v>
      </c>
      <c r="B202" s="1788" t="s">
        <v>286</v>
      </c>
      <c r="C202" s="378"/>
      <c r="D202" s="2490"/>
      <c r="E202" s="2232"/>
      <c r="F202" s="2411" t="str">
        <f>INDEX(PT_DIFFERENTIATION_VTAR,MATCH(A202,PT_DIFFERENTIATION_VTAR_ID,0))</f>
        <v>Тариф на транспортировку сточных вод</v>
      </c>
      <c r="G202" s="2455" t="str">
        <f>INDEX(PT_DIFFERENTIATION_NTAR,MATCH(B202,PT_DIFFERENTIATION_NTAR_ID,0))</f>
        <v/>
      </c>
      <c r="H202" s="1868"/>
      <c r="I202" s="1747"/>
      <c r="J202" s="1781"/>
      <c r="K202" s="1786"/>
      <c r="L202" s="1868" t="s">
        <v>321</v>
      </c>
      <c r="M202" s="350"/>
      <c r="N202" s="343"/>
      <c r="O202" s="1633"/>
      <c r="P202" s="1633"/>
      <c r="AH202" s="1640">
        <v>0</v>
      </c>
    </row>
    <row s="1644" customFormat="1" customHeight="1" ht="18.75" hidden="1">
      <c r="A203" s="1788"/>
      <c r="B203" s="1788"/>
      <c r="C203" s="378" t="s">
        <v>1458</v>
      </c>
      <c r="D203" s="2490"/>
      <c r="E203" s="2232"/>
      <c r="F203" s="2411"/>
      <c r="G203" s="2455"/>
      <c r="H203" s="1509"/>
      <c r="I203" s="660" t="s">
        <v>1457</v>
      </c>
      <c r="J203" s="580"/>
      <c r="K203" s="1509"/>
      <c r="L203" s="223"/>
      <c r="M203" s="350"/>
      <c r="N203" s="343"/>
      <c r="O203" s="1633"/>
      <c r="P203" s="1633"/>
      <c r="AH203" s="1640">
        <v>0</v>
      </c>
    </row>
    <row s="1644" customFormat="1" customHeight="1" ht="0.75" hidden="1">
      <c r="A204" s="1788"/>
      <c r="B204" s="1788"/>
      <c r="C204" s="378" t="s">
        <v>1465</v>
      </c>
      <c r="D204" s="2490"/>
      <c r="E204" s="2232"/>
      <c r="F204" s="2411"/>
      <c r="G204" s="409"/>
      <c r="H204" s="1509"/>
      <c r="I204" s="660"/>
      <c r="J204" s="580"/>
      <c r="K204" s="1509"/>
      <c r="L204" s="223"/>
      <c r="M204" s="350"/>
      <c r="N204" s="343"/>
      <c r="O204" s="1633"/>
      <c r="P204" s="1633"/>
      <c r="AH204" s="1640">
        <v>0</v>
      </c>
    </row>
    <row s="1644" customFormat="1" customHeight="1" ht="18.75" hidden="1">
      <c r="A205" s="1788" t="s">
        <v>290</v>
      </c>
      <c r="B205" s="1788" t="s">
        <v>291</v>
      </c>
      <c r="C205" s="378"/>
      <c r="D205" s="2490"/>
      <c r="E205" s="2232"/>
      <c r="F205" s="2411" t="str">
        <f>INDEX(PT_DIFFERENTIATION_VTAR,MATCH(A205,PT_DIFFERENTIATION_VTAR_ID,0))</f>
        <v>Тариф на подключение (технологическое присоединение) к централизованной системе водоотведения</v>
      </c>
      <c r="G205" s="2455" t="str">
        <f>INDEX(PT_DIFFERENTIATION_NTAR,MATCH(B205,PT_DIFFERENTIATION_NTAR_ID,0))</f>
        <v/>
      </c>
      <c r="H205" s="1868"/>
      <c r="I205" s="1747"/>
      <c r="J205" s="1781"/>
      <c r="K205" s="1786"/>
      <c r="L205" s="1868" t="s">
        <v>321</v>
      </c>
      <c r="M205" s="350"/>
      <c r="N205" s="343"/>
      <c r="O205" s="1633"/>
      <c r="P205" s="1633"/>
      <c r="AH205" s="1640">
        <v>0</v>
      </c>
    </row>
    <row s="1644" customFormat="1" customHeight="1" ht="18.75" hidden="1">
      <c r="A206" s="1788"/>
      <c r="B206" s="1788"/>
      <c r="C206" s="378" t="s">
        <v>1458</v>
      </c>
      <c r="D206" s="2490"/>
      <c r="E206" s="2232"/>
      <c r="F206" s="2411"/>
      <c r="G206" s="2455"/>
      <c r="H206" s="1509"/>
      <c r="I206" s="660" t="s">
        <v>1457</v>
      </c>
      <c r="J206" s="580"/>
      <c r="K206" s="1509"/>
      <c r="L206" s="223"/>
      <c r="M206" s="350"/>
      <c r="N206" s="343"/>
      <c r="O206" s="1633"/>
      <c r="P206" s="1633"/>
      <c r="AH206" s="1640">
        <v>0</v>
      </c>
    </row>
    <row s="1644" customFormat="1" customHeight="1" ht="1.05">
      <c r="A207" s="1788"/>
      <c r="B207" s="1788"/>
      <c r="C207" s="378" t="s">
        <v>1465</v>
      </c>
      <c r="D207" s="2490"/>
      <c r="E207" s="2232"/>
      <c r="F207" s="2411"/>
      <c r="G207" s="409"/>
      <c r="H207" s="1509"/>
      <c r="I207" s="660"/>
      <c r="J207" s="580"/>
      <c r="K207" s="1509"/>
      <c r="L207" s="223"/>
      <c r="M207" s="350"/>
      <c r="N207" s="343"/>
      <c r="O207" s="1633"/>
      <c r="P207" s="1633"/>
      <c r="AH207" s="1640">
        <v>1</v>
      </c>
    </row>
    <row customHeight="1" ht="27.299999999999997">
      <c r="A208" s="1788"/>
      <c r="B208" s="1788"/>
      <c r="D208" s="385"/>
      <c r="E208" s="156" t="s">
        <v>119</v>
      </c>
      <c r="F208" s="24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88"/>
      <c r="H208" s="2488"/>
      <c r="I208" s="2488"/>
      <c r="J208" s="2488"/>
      <c r="K208" s="2488"/>
      <c r="L208" s="2488"/>
      <c r="M208" s="306"/>
      <c r="N208" s="343"/>
      <c r="AH208" s="383">
        <v>26</v>
      </c>
    </row>
    <row s="1644" customFormat="1" customHeight="1" ht="60.75" hidden="1">
      <c r="A209" s="1788" t="s">
        <v>172</v>
      </c>
      <c r="B209" s="1788" t="s">
        <v>173</v>
      </c>
      <c r="C209" s="378"/>
      <c r="D209" s="2490"/>
      <c r="E209" s="2232"/>
      <c r="F209" s="241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55" t="str">
        <f>INDEX(PT_DIFFERENTIATION_NTAR,MATCH(B209,PT_DIFFERENTIATION_NTAR_ID,0))</f>
        <v/>
      </c>
      <c r="H209" s="1868"/>
      <c r="I209" s="1747"/>
      <c r="J209" s="1781"/>
      <c r="K209" s="1786"/>
      <c r="L209" s="1868" t="s">
        <v>321</v>
      </c>
      <c r="M209" s="2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343"/>
      <c r="O209" s="1633"/>
      <c r="P209" s="1633"/>
      <c r="AH209" s="1640">
        <v>0</v>
      </c>
    </row>
    <row s="1644" customFormat="1" customHeight="1" ht="18.75" hidden="1">
      <c r="A210" s="1788"/>
      <c r="B210" s="1788"/>
      <c r="C210" s="378" t="s">
        <v>1458</v>
      </c>
      <c r="D210" s="2490"/>
      <c r="E210" s="2232"/>
      <c r="F210" s="2411"/>
      <c r="G210" s="2455"/>
      <c r="H210" s="1509"/>
      <c r="I210" s="660" t="s">
        <v>1457</v>
      </c>
      <c r="J210" s="580"/>
      <c r="K210" s="1509"/>
      <c r="L210" s="223"/>
      <c r="M210" s="2198"/>
      <c r="N210" s="343"/>
      <c r="O210" s="1633"/>
      <c r="P210" s="1633"/>
      <c r="AH210" s="1640">
        <v>0</v>
      </c>
    </row>
    <row s="1644" customFormat="1" customHeight="1" ht="0.75" hidden="1">
      <c r="A211" s="1788"/>
      <c r="B211" s="1788"/>
      <c r="C211" s="378" t="s">
        <v>1465</v>
      </c>
      <c r="D211" s="2490"/>
      <c r="E211" s="2232"/>
      <c r="F211" s="2411"/>
      <c r="G211" s="409"/>
      <c r="H211" s="1509"/>
      <c r="I211" s="660"/>
      <c r="J211" s="580"/>
      <c r="K211" s="1509"/>
      <c r="L211" s="223"/>
      <c r="M211" s="2198"/>
      <c r="N211" s="343"/>
      <c r="O211" s="1633"/>
      <c r="P211" s="1633"/>
      <c r="AH211" s="1640">
        <v>0</v>
      </c>
    </row>
    <row s="1644" customFormat="1" customHeight="1" ht="45" hidden="1">
      <c r="A212" s="1788" t="s">
        <v>177</v>
      </c>
      <c r="B212" s="1788" t="s">
        <v>178</v>
      </c>
      <c r="C212" s="378"/>
      <c r="D212" s="2490"/>
      <c r="E212" s="2232"/>
      <c r="F212" s="2411" t="str">
        <f>INDEX(PT_DIFFERENTIATION_VTAR,MATCH(A212,PT_DIFFERENTIATION_VTAR_ID,0))</f>
        <v/>
      </c>
      <c r="G212" s="2455" t="str">
        <f>INDEX(PT_DIFFERENTIATION_NTAR,MATCH(B212,PT_DIFFERENTIATION_NTAR_ID,0))</f>
        <v/>
      </c>
      <c r="H212" s="1868"/>
      <c r="I212" s="1747"/>
      <c r="J212" s="1781"/>
      <c r="K212" s="1786"/>
      <c r="L212" s="1868" t="s">
        <v>321</v>
      </c>
      <c r="M212" s="2199"/>
      <c r="N212" s="343"/>
      <c r="O212" s="1633"/>
      <c r="P212" s="1633"/>
      <c r="AH212" s="1640">
        <v>0</v>
      </c>
    </row>
    <row s="1644" customFormat="1" customHeight="1" ht="18.75" hidden="1">
      <c r="A213" s="1788"/>
      <c r="B213" s="1788"/>
      <c r="C213" s="378" t="s">
        <v>1458</v>
      </c>
      <c r="D213" s="2490"/>
      <c r="E213" s="2232"/>
      <c r="F213" s="2411"/>
      <c r="G213" s="2455"/>
      <c r="H213" s="1509"/>
      <c r="I213" s="660" t="s">
        <v>1457</v>
      </c>
      <c r="J213" s="580"/>
      <c r="K213" s="1509"/>
      <c r="L213" s="223"/>
      <c r="M213" s="1867"/>
      <c r="N213" s="343"/>
      <c r="O213" s="1633"/>
      <c r="P213" s="1633"/>
      <c r="AH213" s="1640">
        <v>0</v>
      </c>
    </row>
    <row s="1644" customFormat="1" customHeight="1" ht="0.75" hidden="1">
      <c r="A214" s="1788"/>
      <c r="B214" s="1788"/>
      <c r="C214" s="378" t="s">
        <v>1465</v>
      </c>
      <c r="D214" s="2490"/>
      <c r="E214" s="2232"/>
      <c r="F214" s="2411"/>
      <c r="G214" s="409"/>
      <c r="H214" s="1509"/>
      <c r="I214" s="660"/>
      <c r="J214" s="580"/>
      <c r="K214" s="1509"/>
      <c r="L214" s="223"/>
      <c r="M214" s="350"/>
      <c r="N214" s="343"/>
      <c r="O214" s="1633"/>
      <c r="P214" s="1633"/>
      <c r="AH214" s="1640">
        <v>0</v>
      </c>
    </row>
    <row s="1644" customFormat="1" customHeight="1" ht="45" hidden="1">
      <c r="A215" s="1788" t="s">
        <v>184</v>
      </c>
      <c r="B215" s="1788" t="s">
        <v>185</v>
      </c>
      <c r="C215" s="378"/>
      <c r="D215" s="2490"/>
      <c r="E215" s="2232"/>
      <c r="F215" s="241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55" t="str">
        <f>INDEX(PT_DIFFERENTIATION_NTAR,MATCH(B215,PT_DIFFERENTIATION_NTAR_ID,0))</f>
        <v/>
      </c>
      <c r="H215" s="1868"/>
      <c r="I215" s="1747"/>
      <c r="J215" s="1781"/>
      <c r="K215" s="1786"/>
      <c r="L215" s="1868" t="s">
        <v>321</v>
      </c>
      <c r="M215" s="350"/>
      <c r="N215" s="343"/>
      <c r="O215" s="1633"/>
      <c r="P215" s="1633"/>
      <c r="AH215" s="1640">
        <v>0</v>
      </c>
    </row>
    <row s="1644" customFormat="1" customHeight="1" ht="18.75" hidden="1">
      <c r="A216" s="1788"/>
      <c r="B216" s="1788"/>
      <c r="C216" s="378" t="s">
        <v>1458</v>
      </c>
      <c r="D216" s="2490"/>
      <c r="E216" s="2232"/>
      <c r="F216" s="2411"/>
      <c r="G216" s="2455"/>
      <c r="H216" s="1509"/>
      <c r="I216" s="660" t="s">
        <v>1457</v>
      </c>
      <c r="J216" s="580"/>
      <c r="K216" s="1509"/>
      <c r="L216" s="223"/>
      <c r="M216" s="350"/>
      <c r="N216" s="343"/>
      <c r="O216" s="1633"/>
      <c r="P216" s="1633"/>
      <c r="AH216" s="1640">
        <v>0</v>
      </c>
    </row>
    <row s="1644" customFormat="1" customHeight="1" ht="0.75" hidden="1">
      <c r="A217" s="1788"/>
      <c r="B217" s="1788"/>
      <c r="C217" s="378" t="s">
        <v>1465</v>
      </c>
      <c r="D217" s="2490"/>
      <c r="E217" s="2232"/>
      <c r="F217" s="2411"/>
      <c r="G217" s="409"/>
      <c r="H217" s="1509"/>
      <c r="I217" s="660"/>
      <c r="J217" s="580"/>
      <c r="K217" s="1509"/>
      <c r="L217" s="223"/>
      <c r="M217" s="350"/>
      <c r="N217" s="343"/>
      <c r="O217" s="1633"/>
      <c r="P217" s="1633"/>
      <c r="AH217" s="1640">
        <v>0</v>
      </c>
    </row>
    <row s="1644" customFormat="1" customHeight="1" ht="45" hidden="1">
      <c r="A218" s="1788" t="s">
        <v>190</v>
      </c>
      <c r="B218" s="1788" t="s">
        <v>191</v>
      </c>
      <c r="C218" s="378"/>
      <c r="D218" s="2490"/>
      <c r="E218" s="2232"/>
      <c r="F218" s="241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55" t="str">
        <f>INDEX(PT_DIFFERENTIATION_NTAR,MATCH(B218,PT_DIFFERENTIATION_NTAR_ID,0))</f>
        <v/>
      </c>
      <c r="H218" s="1868"/>
      <c r="I218" s="1747"/>
      <c r="J218" s="1781"/>
      <c r="K218" s="1786"/>
      <c r="L218" s="1868" t="s">
        <v>321</v>
      </c>
      <c r="M218" s="350"/>
      <c r="N218" s="343"/>
      <c r="O218" s="1633"/>
      <c r="P218" s="1633"/>
      <c r="AH218" s="1640">
        <v>0</v>
      </c>
    </row>
    <row s="1644" customFormat="1" customHeight="1" ht="18.75" hidden="1">
      <c r="A219" s="1788"/>
      <c r="B219" s="1788"/>
      <c r="C219" s="378" t="s">
        <v>1458</v>
      </c>
      <c r="D219" s="2490"/>
      <c r="E219" s="2232"/>
      <c r="F219" s="2411"/>
      <c r="G219" s="2455"/>
      <c r="H219" s="1509"/>
      <c r="I219" s="660" t="s">
        <v>1457</v>
      </c>
      <c r="J219" s="580"/>
      <c r="K219" s="1509"/>
      <c r="L219" s="223"/>
      <c r="M219" s="350"/>
      <c r="N219" s="343"/>
      <c r="O219" s="1633"/>
      <c r="P219" s="1633"/>
      <c r="AH219" s="1640">
        <v>0</v>
      </c>
    </row>
    <row s="1644" customFormat="1" customHeight="1" ht="0.75" hidden="1">
      <c r="A220" s="1788"/>
      <c r="B220" s="1788"/>
      <c r="C220" s="378" t="s">
        <v>1465</v>
      </c>
      <c r="D220" s="2490"/>
      <c r="E220" s="2232"/>
      <c r="F220" s="2411"/>
      <c r="G220" s="409"/>
      <c r="H220" s="1509"/>
      <c r="I220" s="660"/>
      <c r="J220" s="580"/>
      <c r="K220" s="1509"/>
      <c r="L220" s="223"/>
      <c r="M220" s="350"/>
      <c r="N220" s="343"/>
      <c r="O220" s="1633"/>
      <c r="P220" s="1633"/>
      <c r="AH220" s="1640">
        <v>0</v>
      </c>
    </row>
    <row s="1644" customFormat="1" customHeight="1" ht="18.75" hidden="1">
      <c r="A221" s="1788" t="s">
        <v>196</v>
      </c>
      <c r="B221" s="1788" t="s">
        <v>197</v>
      </c>
      <c r="C221" s="378"/>
      <c r="D221" s="2490"/>
      <c r="E221" s="2232"/>
      <c r="F221" s="2411" t="str">
        <f>INDEX(PT_DIFFERENTIATION_VTAR,MATCH(A221,PT_DIFFERENTIATION_VTAR_ID,0))</f>
        <v>Тарифы на услуги по передаче тепловой энергии</v>
      </c>
      <c r="G221" s="2455" t="str">
        <f>INDEX(PT_DIFFERENTIATION_NTAR,MATCH(B221,PT_DIFFERENTIATION_NTAR_ID,0))</f>
        <v/>
      </c>
      <c r="H221" s="1868"/>
      <c r="I221" s="1747"/>
      <c r="J221" s="1781"/>
      <c r="K221" s="1786"/>
      <c r="L221" s="1868" t="s">
        <v>321</v>
      </c>
      <c r="M221" s="350"/>
      <c r="N221" s="343"/>
      <c r="O221" s="1633"/>
      <c r="P221" s="1633"/>
      <c r="AH221" s="1640">
        <v>0</v>
      </c>
    </row>
    <row s="1644" customFormat="1" customHeight="1" ht="18.75" hidden="1">
      <c r="A222" s="1788"/>
      <c r="B222" s="1788"/>
      <c r="C222" s="378" t="s">
        <v>1458</v>
      </c>
      <c r="D222" s="2490"/>
      <c r="E222" s="2232"/>
      <c r="F222" s="2411"/>
      <c r="G222" s="2455"/>
      <c r="H222" s="1509"/>
      <c r="I222" s="660" t="s">
        <v>1457</v>
      </c>
      <c r="J222" s="580"/>
      <c r="K222" s="1509"/>
      <c r="L222" s="223"/>
      <c r="M222" s="350"/>
      <c r="N222" s="343"/>
      <c r="O222" s="1633"/>
      <c r="P222" s="1633"/>
      <c r="AH222" s="1640">
        <v>0</v>
      </c>
    </row>
    <row s="1644" customFormat="1" customHeight="1" ht="0.75" hidden="1">
      <c r="A223" s="1788"/>
      <c r="B223" s="1788"/>
      <c r="C223" s="378" t="s">
        <v>1465</v>
      </c>
      <c r="D223" s="2490"/>
      <c r="E223" s="2232"/>
      <c r="F223" s="2411"/>
      <c r="G223" s="409"/>
      <c r="H223" s="1509"/>
      <c r="I223" s="660"/>
      <c r="J223" s="580"/>
      <c r="K223" s="1509"/>
      <c r="L223" s="223"/>
      <c r="M223" s="350"/>
      <c r="N223" s="343"/>
      <c r="O223" s="1633"/>
      <c r="P223" s="1633"/>
      <c r="AH223" s="1640">
        <v>0</v>
      </c>
    </row>
    <row s="1644" customFormat="1" customHeight="1" ht="18.75" hidden="1">
      <c r="A224" s="1788" t="s">
        <v>202</v>
      </c>
      <c r="B224" s="1788" t="s">
        <v>203</v>
      </c>
      <c r="C224" s="378"/>
      <c r="D224" s="2490"/>
      <c r="E224" s="2232"/>
      <c r="F224" s="2411" t="str">
        <f>INDEX(PT_DIFFERENTIATION_VTAR,MATCH(A224,PT_DIFFERENTIATION_VTAR_ID,0))</f>
        <v>Тарифы на услуги по передаче теплоносителя</v>
      </c>
      <c r="G224" s="2455" t="str">
        <f>INDEX(PT_DIFFERENTIATION_NTAR,MATCH(B224,PT_DIFFERENTIATION_NTAR_ID,0))</f>
        <v/>
      </c>
      <c r="H224" s="1868"/>
      <c r="I224" s="1747"/>
      <c r="J224" s="1781"/>
      <c r="K224" s="1786"/>
      <c r="L224" s="1868" t="s">
        <v>321</v>
      </c>
      <c r="M224" s="350"/>
      <c r="N224" s="343"/>
      <c r="O224" s="1633"/>
      <c r="P224" s="1633"/>
      <c r="AH224" s="1640">
        <v>0</v>
      </c>
    </row>
    <row s="1644" customFormat="1" customHeight="1" ht="18.75" hidden="1">
      <c r="A225" s="1788"/>
      <c r="B225" s="1788"/>
      <c r="C225" s="378" t="s">
        <v>1458</v>
      </c>
      <c r="D225" s="2490"/>
      <c r="E225" s="2232"/>
      <c r="F225" s="2411"/>
      <c r="G225" s="2455"/>
      <c r="H225" s="1509"/>
      <c r="I225" s="660" t="s">
        <v>1457</v>
      </c>
      <c r="J225" s="580"/>
      <c r="K225" s="1509"/>
      <c r="L225" s="223"/>
      <c r="M225" s="350"/>
      <c r="N225" s="343"/>
      <c r="O225" s="1633"/>
      <c r="P225" s="1633"/>
      <c r="AH225" s="1640">
        <v>0</v>
      </c>
    </row>
    <row s="1644" customFormat="1" customHeight="1" ht="0.75" hidden="1">
      <c r="A226" s="1788"/>
      <c r="B226" s="1788"/>
      <c r="C226" s="378" t="s">
        <v>1465</v>
      </c>
      <c r="D226" s="2490"/>
      <c r="E226" s="2232"/>
      <c r="F226" s="2411"/>
      <c r="G226" s="409"/>
      <c r="H226" s="1509"/>
      <c r="I226" s="660"/>
      <c r="J226" s="580"/>
      <c r="K226" s="1509"/>
      <c r="L226" s="223"/>
      <c r="M226" s="350"/>
      <c r="N226" s="343"/>
      <c r="O226" s="1633"/>
      <c r="P226" s="1633"/>
      <c r="AH226" s="1640">
        <v>0</v>
      </c>
    </row>
    <row s="1644" customFormat="1" customHeight="1" ht="18.75" hidden="1">
      <c r="A227" s="1788" t="s">
        <v>208</v>
      </c>
      <c r="B227" s="1788" t="s">
        <v>209</v>
      </c>
      <c r="C227" s="378"/>
      <c r="D227" s="2490"/>
      <c r="E227" s="2232"/>
      <c r="F227" s="241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55" t="str">
        <f>INDEX(PT_DIFFERENTIATION_NTAR,MATCH(B227,PT_DIFFERENTIATION_NTAR_ID,0))</f>
        <v/>
      </c>
      <c r="H227" s="1868"/>
      <c r="I227" s="1747"/>
      <c r="J227" s="1781"/>
      <c r="K227" s="1786"/>
      <c r="L227" s="1868" t="s">
        <v>321</v>
      </c>
      <c r="M227" s="350"/>
      <c r="N227" s="343"/>
      <c r="O227" s="1633"/>
      <c r="P227" s="1633"/>
      <c r="AH227" s="1640">
        <v>0</v>
      </c>
    </row>
    <row s="1644" customFormat="1" customHeight="1" ht="18.75" hidden="1">
      <c r="A228" s="1788"/>
      <c r="B228" s="1788"/>
      <c r="C228" s="378" t="s">
        <v>1458</v>
      </c>
      <c r="D228" s="2490"/>
      <c r="E228" s="2232"/>
      <c r="F228" s="2411"/>
      <c r="G228" s="2455"/>
      <c r="H228" s="1509"/>
      <c r="I228" s="660" t="s">
        <v>1457</v>
      </c>
      <c r="J228" s="580"/>
      <c r="K228" s="1509"/>
      <c r="L228" s="223"/>
      <c r="M228" s="350"/>
      <c r="N228" s="343"/>
      <c r="O228" s="1633"/>
      <c r="P228" s="1633"/>
      <c r="AH228" s="1640">
        <v>0</v>
      </c>
    </row>
    <row s="1644" customFormat="1" customHeight="1" ht="0.75" hidden="1">
      <c r="A229" s="1788"/>
      <c r="B229" s="1788"/>
      <c r="C229" s="378" t="s">
        <v>1465</v>
      </c>
      <c r="D229" s="2490"/>
      <c r="E229" s="2232"/>
      <c r="F229" s="2411"/>
      <c r="G229" s="409"/>
      <c r="H229" s="1509"/>
      <c r="I229" s="660"/>
      <c r="J229" s="580"/>
      <c r="K229" s="1509"/>
      <c r="L229" s="223"/>
      <c r="M229" s="350"/>
      <c r="N229" s="343"/>
      <c r="O229" s="1633"/>
      <c r="P229" s="1633"/>
      <c r="AH229" s="1640">
        <v>0</v>
      </c>
    </row>
    <row s="1644" customFormat="1" customHeight="1" ht="18.75" hidden="1">
      <c r="A230" s="1788" t="s">
        <v>214</v>
      </c>
      <c r="B230" s="1788" t="s">
        <v>215</v>
      </c>
      <c r="C230" s="378"/>
      <c r="D230" s="2490"/>
      <c r="E230" s="2232"/>
      <c r="F230" s="2411" t="str">
        <f>INDEX(PT_DIFFERENTIATION_VTAR,MATCH(A230,PT_DIFFERENTIATION_VTAR_ID,0))</f>
        <v>Плата за подключение (технологическое присоединение) к системе теплоснабжения</v>
      </c>
      <c r="G230" s="2455" t="str">
        <f>INDEX(PT_DIFFERENTIATION_NTAR,MATCH(B230,PT_DIFFERENTIATION_NTAR_ID,0))</f>
        <v/>
      </c>
      <c r="H230" s="1868"/>
      <c r="I230" s="1747"/>
      <c r="J230" s="1781"/>
      <c r="K230" s="1786"/>
      <c r="L230" s="1868" t="s">
        <v>321</v>
      </c>
      <c r="M230" s="350"/>
      <c r="N230" s="343"/>
      <c r="O230" s="1633"/>
      <c r="P230" s="1633"/>
      <c r="AH230" s="1640">
        <v>0</v>
      </c>
    </row>
    <row s="1644" customFormat="1" customHeight="1" ht="18.75" hidden="1">
      <c r="A231" s="1788"/>
      <c r="B231" s="1788"/>
      <c r="C231" s="378" t="s">
        <v>1458</v>
      </c>
      <c r="D231" s="2490"/>
      <c r="E231" s="2232"/>
      <c r="F231" s="2411"/>
      <c r="G231" s="2455"/>
      <c r="H231" s="1509"/>
      <c r="I231" s="660" t="s">
        <v>1457</v>
      </c>
      <c r="J231" s="580"/>
      <c r="K231" s="1509"/>
      <c r="L231" s="223"/>
      <c r="M231" s="350"/>
      <c r="N231" s="343"/>
      <c r="O231" s="1633"/>
      <c r="P231" s="1633"/>
      <c r="AH231" s="1640">
        <v>0</v>
      </c>
    </row>
    <row s="1644" customFormat="1" customHeight="1" ht="0.75" hidden="1">
      <c r="A232" s="1788"/>
      <c r="B232" s="1788"/>
      <c r="C232" s="378" t="s">
        <v>1465</v>
      </c>
      <c r="D232" s="2490"/>
      <c r="E232" s="2232"/>
      <c r="F232" s="2411"/>
      <c r="G232" s="409"/>
      <c r="H232" s="1509"/>
      <c r="I232" s="660"/>
      <c r="J232" s="580"/>
      <c r="K232" s="1509"/>
      <c r="L232" s="223"/>
      <c r="M232" s="350"/>
      <c r="N232" s="343"/>
      <c r="O232" s="1633"/>
      <c r="P232" s="1633"/>
      <c r="AH232" s="1640">
        <v>0</v>
      </c>
    </row>
    <row s="1644" customFormat="1" customHeight="1" ht="18.75" hidden="1">
      <c r="A233" s="1788" t="s">
        <v>220</v>
      </c>
      <c r="B233" s="1788" t="s">
        <v>221</v>
      </c>
      <c r="C233" s="378"/>
      <c r="D233" s="2490"/>
      <c r="E233" s="2232"/>
      <c r="F233" s="2411" t="str">
        <f>INDEX(PT_DIFFERENTIATION_VTAR,MATCH(A233,PT_DIFFERENTIATION_VTAR_ID,0))</f>
        <v>Плата за подключение (технологическое присоединение) к системе теплоснабжения (индивидуальная)</v>
      </c>
      <c r="G233" s="2455" t="str">
        <f>INDEX(PT_DIFFERENTIATION_NTAR,MATCH(B233,PT_DIFFERENTIATION_NTAR_ID,0))</f>
        <v/>
      </c>
      <c r="H233" s="1995"/>
      <c r="I233" s="1747"/>
      <c r="J233" s="1781"/>
      <c r="K233" s="1786"/>
      <c r="L233" s="1995" t="s">
        <v>321</v>
      </c>
      <c r="M233" s="350"/>
      <c r="N233" s="343"/>
      <c r="O233" s="1633"/>
      <c r="P233" s="1633"/>
      <c r="AH233" s="1640">
        <v>0</v>
      </c>
    </row>
    <row s="1644" customFormat="1" customHeight="1" ht="18.75" hidden="1">
      <c r="A234" s="1788"/>
      <c r="B234" s="1788"/>
      <c r="C234" s="378" t="s">
        <v>1458</v>
      </c>
      <c r="D234" s="2490"/>
      <c r="E234" s="2232"/>
      <c r="F234" s="2411"/>
      <c r="G234" s="2455"/>
      <c r="H234" s="1509"/>
      <c r="I234" s="660" t="s">
        <v>1457</v>
      </c>
      <c r="J234" s="580"/>
      <c r="K234" s="1509"/>
      <c r="L234" s="223"/>
      <c r="M234" s="350"/>
      <c r="N234" s="343"/>
      <c r="O234" s="1633"/>
      <c r="P234" s="1633"/>
      <c r="AH234" s="1640">
        <v>0</v>
      </c>
    </row>
    <row s="1644" customFormat="1" customHeight="1" ht="0.75" hidden="1">
      <c r="A235" s="1788"/>
      <c r="B235" s="1788"/>
      <c r="C235" s="378" t="s">
        <v>1465</v>
      </c>
      <c r="D235" s="2490"/>
      <c r="E235" s="2232"/>
      <c r="F235" s="2411"/>
      <c r="G235" s="409"/>
      <c r="H235" s="1509"/>
      <c r="I235" s="660"/>
      <c r="J235" s="580"/>
      <c r="K235" s="1509"/>
      <c r="L235" s="223"/>
      <c r="M235" s="350"/>
      <c r="N235" s="343"/>
      <c r="O235" s="1633"/>
      <c r="P235" s="1633"/>
      <c r="AH235" s="1640">
        <v>0</v>
      </c>
    </row>
    <row s="1644" customFormat="1" customHeight="1" ht="18.75" hidden="1">
      <c r="A236" s="1788" t="s">
        <v>240</v>
      </c>
      <c r="B236" s="1788" t="s">
        <v>241</v>
      </c>
      <c r="C236" s="378"/>
      <c r="D236" s="2490"/>
      <c r="E236" s="2232"/>
      <c r="F236" s="2411" t="str">
        <f>INDEX(PT_DIFFERENTIATION_VTAR,MATCH(A236,PT_DIFFERENTIATION_VTAR_ID,0))</f>
        <v>Тариф на питьевую воду (питьевое водоснабжение)</v>
      </c>
      <c r="G236" s="2455" t="str">
        <f>INDEX(PT_DIFFERENTIATION_NTAR,MATCH(B236,PT_DIFFERENTIATION_NTAR_ID,0))</f>
        <v/>
      </c>
      <c r="H236" s="1868"/>
      <c r="I236" s="1747"/>
      <c r="J236" s="1781"/>
      <c r="K236" s="1786"/>
      <c r="L236" s="1868" t="s">
        <v>321</v>
      </c>
      <c r="M236" s="350"/>
      <c r="N236" s="343"/>
      <c r="O236" s="1633"/>
      <c r="P236" s="1633"/>
      <c r="AH236" s="1640">
        <v>0</v>
      </c>
    </row>
    <row s="1644" customFormat="1" customHeight="1" ht="18.75" hidden="1">
      <c r="A237" s="1788"/>
      <c r="B237" s="1788"/>
      <c r="C237" s="378" t="s">
        <v>1458</v>
      </c>
      <c r="D237" s="2490"/>
      <c r="E237" s="2232"/>
      <c r="F237" s="2411"/>
      <c r="G237" s="2455"/>
      <c r="H237" s="1509"/>
      <c r="I237" s="660" t="s">
        <v>1457</v>
      </c>
      <c r="J237" s="580"/>
      <c r="K237" s="1509"/>
      <c r="L237" s="223"/>
      <c r="M237" s="350"/>
      <c r="N237" s="343"/>
      <c r="O237" s="1633"/>
      <c r="P237" s="1633"/>
      <c r="AH237" s="1640">
        <v>0</v>
      </c>
    </row>
    <row s="1644" customFormat="1" customHeight="1" ht="0.75" hidden="1">
      <c r="A238" s="1788"/>
      <c r="B238" s="1788"/>
      <c r="C238" s="378" t="s">
        <v>1465</v>
      </c>
      <c r="D238" s="2490"/>
      <c r="E238" s="2232"/>
      <c r="F238" s="2411"/>
      <c r="G238" s="409"/>
      <c r="H238" s="1509"/>
      <c r="I238" s="660"/>
      <c r="J238" s="580"/>
      <c r="K238" s="1509"/>
      <c r="L238" s="223"/>
      <c r="M238" s="350"/>
      <c r="N238" s="343"/>
      <c r="O238" s="1633"/>
      <c r="P238" s="1633"/>
      <c r="AH238" s="1640">
        <v>0</v>
      </c>
    </row>
    <row s="1644" customFormat="1" customHeight="1" ht="18.75" hidden="1">
      <c r="A239" s="1788" t="s">
        <v>245</v>
      </c>
      <c r="B239" s="1788" t="s">
        <v>246</v>
      </c>
      <c r="C239" s="378"/>
      <c r="D239" s="2490"/>
      <c r="E239" s="2232"/>
      <c r="F239" s="2411" t="str">
        <f>INDEX(PT_DIFFERENTIATION_VTAR,MATCH(A239,PT_DIFFERENTIATION_VTAR_ID,0))</f>
        <v>Тариф на техническую воду</v>
      </c>
      <c r="G239" s="2455" t="str">
        <f>INDEX(PT_DIFFERENTIATION_NTAR,MATCH(B239,PT_DIFFERENTIATION_NTAR_ID,0))</f>
        <v/>
      </c>
      <c r="H239" s="1868"/>
      <c r="I239" s="1747"/>
      <c r="J239" s="1781"/>
      <c r="K239" s="1786"/>
      <c r="L239" s="1868" t="s">
        <v>321</v>
      </c>
      <c r="M239" s="350"/>
      <c r="N239" s="343"/>
      <c r="O239" s="1633"/>
      <c r="P239" s="1633"/>
      <c r="AH239" s="1640">
        <v>0</v>
      </c>
    </row>
    <row s="1644" customFormat="1" customHeight="1" ht="18.75" hidden="1">
      <c r="A240" s="1788"/>
      <c r="B240" s="1788"/>
      <c r="C240" s="378" t="s">
        <v>1458</v>
      </c>
      <c r="D240" s="2490"/>
      <c r="E240" s="2232"/>
      <c r="F240" s="2411"/>
      <c r="G240" s="2455"/>
      <c r="H240" s="1509"/>
      <c r="I240" s="660" t="s">
        <v>1457</v>
      </c>
      <c r="J240" s="580"/>
      <c r="K240" s="1509"/>
      <c r="L240" s="223"/>
      <c r="M240" s="350"/>
      <c r="N240" s="343"/>
      <c r="O240" s="1633"/>
      <c r="P240" s="1633"/>
      <c r="AH240" s="1640">
        <v>0</v>
      </c>
    </row>
    <row s="1644" customFormat="1" customHeight="1" ht="0.75" hidden="1">
      <c r="A241" s="1788"/>
      <c r="B241" s="1788"/>
      <c r="C241" s="378" t="s">
        <v>1465</v>
      </c>
      <c r="D241" s="2490"/>
      <c r="E241" s="2232"/>
      <c r="F241" s="2411"/>
      <c r="G241" s="409"/>
      <c r="H241" s="1509"/>
      <c r="I241" s="660"/>
      <c r="J241" s="580"/>
      <c r="K241" s="1509"/>
      <c r="L241" s="223"/>
      <c r="M241" s="350"/>
      <c r="N241" s="343"/>
      <c r="O241" s="1633"/>
      <c r="P241" s="1633"/>
      <c r="AH241" s="1640">
        <v>0</v>
      </c>
    </row>
    <row s="1644" customFormat="1" customHeight="1" ht="18.75" hidden="1">
      <c r="A242" s="1788" t="s">
        <v>250</v>
      </c>
      <c r="B242" s="1788" t="s">
        <v>251</v>
      </c>
      <c r="C242" s="378"/>
      <c r="D242" s="2490"/>
      <c r="E242" s="2232"/>
      <c r="F242" s="2411" t="str">
        <f>INDEX(PT_DIFFERENTIATION_VTAR,MATCH(A242,PT_DIFFERENTIATION_VTAR_ID,0))</f>
        <v>Тариф на транспортировку воды</v>
      </c>
      <c r="G242" s="2455" t="str">
        <f>INDEX(PT_DIFFERENTIATION_NTAR,MATCH(B242,PT_DIFFERENTIATION_NTAR_ID,0))</f>
        <v/>
      </c>
      <c r="H242" s="1868"/>
      <c r="I242" s="1747"/>
      <c r="J242" s="1781"/>
      <c r="K242" s="1786"/>
      <c r="L242" s="1868" t="s">
        <v>321</v>
      </c>
      <c r="M242" s="350"/>
      <c r="N242" s="343"/>
      <c r="O242" s="1633"/>
      <c r="P242" s="1633"/>
      <c r="AH242" s="1640">
        <v>0</v>
      </c>
    </row>
    <row s="1644" customFormat="1" customHeight="1" ht="18.75" hidden="1">
      <c r="A243" s="1788"/>
      <c r="B243" s="1788"/>
      <c r="C243" s="378" t="s">
        <v>1458</v>
      </c>
      <c r="D243" s="2490"/>
      <c r="E243" s="2232"/>
      <c r="F243" s="2411"/>
      <c r="G243" s="2455"/>
      <c r="H243" s="1509"/>
      <c r="I243" s="660" t="s">
        <v>1457</v>
      </c>
      <c r="J243" s="580"/>
      <c r="K243" s="1509"/>
      <c r="L243" s="223"/>
      <c r="M243" s="350"/>
      <c r="N243" s="343"/>
      <c r="O243" s="1633"/>
      <c r="P243" s="1633"/>
      <c r="AH243" s="1640">
        <v>0</v>
      </c>
    </row>
    <row s="1644" customFormat="1" customHeight="1" ht="0.75" hidden="1">
      <c r="A244" s="1788"/>
      <c r="B244" s="1788"/>
      <c r="C244" s="378" t="s">
        <v>1465</v>
      </c>
      <c r="D244" s="2490"/>
      <c r="E244" s="2232"/>
      <c r="F244" s="2411"/>
      <c r="G244" s="409"/>
      <c r="H244" s="1509"/>
      <c r="I244" s="660"/>
      <c r="J244" s="580"/>
      <c r="K244" s="1509"/>
      <c r="L244" s="223"/>
      <c r="M244" s="350"/>
      <c r="N244" s="343"/>
      <c r="O244" s="1633"/>
      <c r="P244" s="1633"/>
      <c r="AH244" s="1640">
        <v>0</v>
      </c>
    </row>
    <row s="1644" customFormat="1" customHeight="1" ht="18.75" hidden="1">
      <c r="A245" s="1788" t="s">
        <v>255</v>
      </c>
      <c r="B245" s="1788" t="s">
        <v>256</v>
      </c>
      <c r="C245" s="378"/>
      <c r="D245" s="2490"/>
      <c r="E245" s="2232"/>
      <c r="F245" s="2411" t="str">
        <f>INDEX(PT_DIFFERENTIATION_VTAR,MATCH(A245,PT_DIFFERENTIATION_VTAR_ID,0))</f>
        <v>Тариф на подвоз воды</v>
      </c>
      <c r="G245" s="2455" t="str">
        <f>INDEX(PT_DIFFERENTIATION_NTAR,MATCH(B245,PT_DIFFERENTIATION_NTAR_ID,0))</f>
        <v/>
      </c>
      <c r="H245" s="1868"/>
      <c r="I245" s="1747"/>
      <c r="J245" s="1781"/>
      <c r="K245" s="1786"/>
      <c r="L245" s="1868" t="s">
        <v>321</v>
      </c>
      <c r="M245" s="350"/>
      <c r="N245" s="343"/>
      <c r="O245" s="1633"/>
      <c r="P245" s="1633"/>
      <c r="AH245" s="1640">
        <v>0</v>
      </c>
    </row>
    <row s="1644" customFormat="1" customHeight="1" ht="18.75" hidden="1">
      <c r="A246" s="1788"/>
      <c r="B246" s="1788"/>
      <c r="C246" s="378" t="s">
        <v>1458</v>
      </c>
      <c r="D246" s="2490"/>
      <c r="E246" s="2232"/>
      <c r="F246" s="2411"/>
      <c r="G246" s="2455"/>
      <c r="H246" s="1509"/>
      <c r="I246" s="660" t="s">
        <v>1457</v>
      </c>
      <c r="J246" s="580"/>
      <c r="K246" s="1509"/>
      <c r="L246" s="223"/>
      <c r="M246" s="350"/>
      <c r="N246" s="343"/>
      <c r="O246" s="1633"/>
      <c r="P246" s="1633"/>
      <c r="AH246" s="1640">
        <v>0</v>
      </c>
    </row>
    <row s="1644" customFormat="1" customHeight="1" ht="0.75" hidden="1">
      <c r="A247" s="1788"/>
      <c r="B247" s="1788"/>
      <c r="C247" s="378" t="s">
        <v>1465</v>
      </c>
      <c r="D247" s="2490"/>
      <c r="E247" s="2232"/>
      <c r="F247" s="2411"/>
      <c r="G247" s="409"/>
      <c r="H247" s="1509"/>
      <c r="I247" s="660"/>
      <c r="J247" s="580"/>
      <c r="K247" s="1509"/>
      <c r="L247" s="223"/>
      <c r="M247" s="350"/>
      <c r="N247" s="343"/>
      <c r="O247" s="1633"/>
      <c r="P247" s="1633"/>
      <c r="AH247" s="1640">
        <v>0</v>
      </c>
    </row>
    <row s="1644" customFormat="1" customHeight="1" ht="18.75" hidden="1">
      <c r="A248" s="1788" t="s">
        <v>260</v>
      </c>
      <c r="B248" s="1788" t="s">
        <v>261</v>
      </c>
      <c r="C248" s="378"/>
      <c r="D248" s="2490"/>
      <c r="E248" s="2232"/>
      <c r="F248" s="241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55" t="str">
        <f>INDEX(PT_DIFFERENTIATION_NTAR,MATCH(B248,PT_DIFFERENTIATION_NTAR_ID,0))</f>
        <v/>
      </c>
      <c r="H248" s="1868"/>
      <c r="I248" s="1747"/>
      <c r="J248" s="1781"/>
      <c r="K248" s="1786"/>
      <c r="L248" s="1868" t="s">
        <v>321</v>
      </c>
      <c r="M248" s="350"/>
      <c r="N248" s="343"/>
      <c r="O248" s="1633"/>
      <c r="P248" s="1633"/>
      <c r="AH248" s="1640">
        <v>0</v>
      </c>
    </row>
    <row s="1644" customFormat="1" customHeight="1" ht="18.75" hidden="1">
      <c r="A249" s="1788"/>
      <c r="B249" s="1788"/>
      <c r="C249" s="378" t="s">
        <v>1458</v>
      </c>
      <c r="D249" s="2490"/>
      <c r="E249" s="2232"/>
      <c r="F249" s="2411"/>
      <c r="G249" s="2455"/>
      <c r="H249" s="1509"/>
      <c r="I249" s="660" t="s">
        <v>1457</v>
      </c>
      <c r="J249" s="580"/>
      <c r="K249" s="1509"/>
      <c r="L249" s="223"/>
      <c r="M249" s="350"/>
      <c r="N249" s="343"/>
      <c r="O249" s="1633"/>
      <c r="P249" s="1633"/>
      <c r="AH249" s="1640">
        <v>0</v>
      </c>
    </row>
    <row s="1644" customFormat="1" customHeight="1" ht="0.75" hidden="1">
      <c r="A250" s="1788"/>
      <c r="B250" s="1788"/>
      <c r="C250" s="378" t="s">
        <v>1465</v>
      </c>
      <c r="D250" s="2490"/>
      <c r="E250" s="2232"/>
      <c r="F250" s="2411"/>
      <c r="G250" s="409"/>
      <c r="H250" s="1509"/>
      <c r="I250" s="660"/>
      <c r="J250" s="580"/>
      <c r="K250" s="1509"/>
      <c r="L250" s="223"/>
      <c r="M250" s="350"/>
      <c r="N250" s="343"/>
      <c r="O250" s="1633"/>
      <c r="P250" s="1633"/>
      <c r="AH250" s="1640">
        <v>0</v>
      </c>
    </row>
    <row s="1644" customFormat="1" customHeight="1" ht="18.75" hidden="1">
      <c r="A251" s="1788" t="s">
        <v>265</v>
      </c>
      <c r="B251" s="1788" t="s">
        <v>266</v>
      </c>
      <c r="C251" s="378"/>
      <c r="D251" s="2490"/>
      <c r="E251" s="2232"/>
      <c r="F251" s="2411" t="str">
        <f>INDEX(PT_DIFFERENTIATION_VTAR,MATCH(A251,PT_DIFFERENTIATION_VTAR_ID,0))</f>
        <v>Тариф на горячую воду (горячее водоснабжение)</v>
      </c>
      <c r="G251" s="2455" t="str">
        <f>INDEX(PT_DIFFERENTIATION_NTAR,MATCH(B251,PT_DIFFERENTIATION_NTAR_ID,0))</f>
        <v/>
      </c>
      <c r="H251" s="1868"/>
      <c r="I251" s="1747"/>
      <c r="J251" s="1781"/>
      <c r="K251" s="1786"/>
      <c r="L251" s="1868" t="s">
        <v>321</v>
      </c>
      <c r="M251" s="350"/>
      <c r="N251" s="343"/>
      <c r="O251" s="1633"/>
      <c r="P251" s="1633"/>
      <c r="AH251" s="1640">
        <v>0</v>
      </c>
    </row>
    <row s="1644" customFormat="1" customHeight="1" ht="18.75" hidden="1">
      <c r="A252" s="1788"/>
      <c r="B252" s="1788"/>
      <c r="C252" s="378" t="s">
        <v>1458</v>
      </c>
      <c r="D252" s="2490"/>
      <c r="E252" s="2232"/>
      <c r="F252" s="2411"/>
      <c r="G252" s="2455"/>
      <c r="H252" s="1509"/>
      <c r="I252" s="660" t="s">
        <v>1457</v>
      </c>
      <c r="J252" s="580"/>
      <c r="K252" s="1509"/>
      <c r="L252" s="223"/>
      <c r="M252" s="350"/>
      <c r="N252" s="343"/>
      <c r="O252" s="1633"/>
      <c r="P252" s="1633"/>
      <c r="AH252" s="1640">
        <v>0</v>
      </c>
    </row>
    <row s="1644" customFormat="1" customHeight="1" ht="0.75" hidden="1">
      <c r="A253" s="1788"/>
      <c r="B253" s="1788"/>
      <c r="C253" s="378" t="s">
        <v>1465</v>
      </c>
      <c r="D253" s="2490"/>
      <c r="E253" s="2232"/>
      <c r="F253" s="2411"/>
      <c r="G253" s="409"/>
      <c r="H253" s="1509"/>
      <c r="I253" s="660"/>
      <c r="J253" s="580"/>
      <c r="K253" s="1509"/>
      <c r="L253" s="223"/>
      <c r="M253" s="350"/>
      <c r="N253" s="343"/>
      <c r="O253" s="1633"/>
      <c r="P253" s="1633"/>
      <c r="AH253" s="1640">
        <v>0</v>
      </c>
    </row>
    <row s="1644" customFormat="1" customHeight="1" ht="18.75" hidden="1">
      <c r="A254" s="1788" t="s">
        <v>270</v>
      </c>
      <c r="B254" s="1788" t="s">
        <v>271</v>
      </c>
      <c r="C254" s="378"/>
      <c r="D254" s="2490"/>
      <c r="E254" s="2232"/>
      <c r="F254" s="2411" t="str">
        <f>INDEX(PT_DIFFERENTIATION_VTAR,MATCH(A254,PT_DIFFERENTIATION_VTAR_ID,0))</f>
        <v>Тариф на транспортировку горячей воды</v>
      </c>
      <c r="G254" s="2455" t="str">
        <f>INDEX(PT_DIFFERENTIATION_NTAR,MATCH(B254,PT_DIFFERENTIATION_NTAR_ID,0))</f>
        <v/>
      </c>
      <c r="H254" s="1868"/>
      <c r="I254" s="1747"/>
      <c r="J254" s="1781"/>
      <c r="K254" s="1786"/>
      <c r="L254" s="1868" t="s">
        <v>321</v>
      </c>
      <c r="M254" s="350"/>
      <c r="N254" s="343"/>
      <c r="O254" s="1633"/>
      <c r="P254" s="1633"/>
      <c r="AH254" s="1640">
        <v>0</v>
      </c>
    </row>
    <row s="1644" customFormat="1" customHeight="1" ht="18.75" hidden="1">
      <c r="A255" s="1788"/>
      <c r="B255" s="1788"/>
      <c r="C255" s="378" t="s">
        <v>1458</v>
      </c>
      <c r="D255" s="2490"/>
      <c r="E255" s="2232"/>
      <c r="F255" s="2411"/>
      <c r="G255" s="2455"/>
      <c r="H255" s="1509"/>
      <c r="I255" s="660" t="s">
        <v>1457</v>
      </c>
      <c r="J255" s="580"/>
      <c r="K255" s="1509"/>
      <c r="L255" s="223"/>
      <c r="M255" s="350"/>
      <c r="N255" s="343"/>
      <c r="O255" s="1633"/>
      <c r="P255" s="1633"/>
      <c r="AH255" s="1640">
        <v>0</v>
      </c>
    </row>
    <row s="1644" customFormat="1" customHeight="1" ht="0.75" hidden="1">
      <c r="A256" s="1788"/>
      <c r="B256" s="1788"/>
      <c r="C256" s="378" t="s">
        <v>1465</v>
      </c>
      <c r="D256" s="2490"/>
      <c r="E256" s="2232"/>
      <c r="F256" s="2411"/>
      <c r="G256" s="409"/>
      <c r="H256" s="1509"/>
      <c r="I256" s="660"/>
      <c r="J256" s="580"/>
      <c r="K256" s="1509"/>
      <c r="L256" s="223"/>
      <c r="M256" s="350"/>
      <c r="N256" s="343"/>
      <c r="O256" s="1633"/>
      <c r="P256" s="1633"/>
      <c r="AH256" s="1640">
        <v>0</v>
      </c>
    </row>
    <row s="1644" customFormat="1" customHeight="1" ht="18.75" hidden="1">
      <c r="A257" s="1788" t="s">
        <v>275</v>
      </c>
      <c r="B257" s="1788" t="s">
        <v>276</v>
      </c>
      <c r="C257" s="378"/>
      <c r="D257" s="2490"/>
      <c r="E257" s="2232"/>
      <c r="F257" s="241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55" t="str">
        <f>INDEX(PT_DIFFERENTIATION_NTAR,MATCH(B257,PT_DIFFERENTIATION_NTAR_ID,0))</f>
        <v/>
      </c>
      <c r="H257" s="1868"/>
      <c r="I257" s="1747"/>
      <c r="J257" s="1781"/>
      <c r="K257" s="1786"/>
      <c r="L257" s="1868" t="s">
        <v>321</v>
      </c>
      <c r="M257" s="350"/>
      <c r="N257" s="343"/>
      <c r="O257" s="1633"/>
      <c r="P257" s="1633"/>
      <c r="AH257" s="1640">
        <v>0</v>
      </c>
    </row>
    <row s="1644" customFormat="1" customHeight="1" ht="18.75" hidden="1">
      <c r="A258" s="1788"/>
      <c r="B258" s="1788"/>
      <c r="C258" s="378" t="s">
        <v>1458</v>
      </c>
      <c r="D258" s="2490"/>
      <c r="E258" s="2232"/>
      <c r="F258" s="2411"/>
      <c r="G258" s="2455"/>
      <c r="H258" s="1509"/>
      <c r="I258" s="660" t="s">
        <v>1457</v>
      </c>
      <c r="J258" s="580"/>
      <c r="K258" s="1509"/>
      <c r="L258" s="223"/>
      <c r="M258" s="350"/>
      <c r="N258" s="343"/>
      <c r="O258" s="1633"/>
      <c r="P258" s="1633"/>
      <c r="AH258" s="1640">
        <v>0</v>
      </c>
    </row>
    <row s="1644" customFormat="1" customHeight="1" ht="0.75" hidden="1">
      <c r="A259" s="1788"/>
      <c r="B259" s="1788"/>
      <c r="C259" s="378" t="s">
        <v>1465</v>
      </c>
      <c r="D259" s="2490"/>
      <c r="E259" s="2232"/>
      <c r="F259" s="2411"/>
      <c r="G259" s="409"/>
      <c r="H259" s="1509"/>
      <c r="I259" s="660"/>
      <c r="J259" s="580"/>
      <c r="K259" s="1509"/>
      <c r="L259" s="223"/>
      <c r="M259" s="350"/>
      <c r="N259" s="343"/>
      <c r="O259" s="1633"/>
      <c r="P259" s="1633"/>
      <c r="AH259" s="1640">
        <v>0</v>
      </c>
    </row>
    <row s="1644" customFormat="1" customHeight="1" ht="18.75" hidden="1">
      <c r="A260" s="1788" t="s">
        <v>280</v>
      </c>
      <c r="B260" s="1788" t="s">
        <v>281</v>
      </c>
      <c r="C260" s="378"/>
      <c r="D260" s="2490"/>
      <c r="E260" s="2232"/>
      <c r="F260" s="2411" t="str">
        <f>INDEX(PT_DIFFERENTIATION_VTAR,MATCH(A260,PT_DIFFERENTIATION_VTAR_ID,0))</f>
        <v>Тариф на водоотведение</v>
      </c>
      <c r="G260" s="2455" t="str">
        <f>INDEX(PT_DIFFERENTIATION_NTAR,MATCH(B260,PT_DIFFERENTIATION_NTAR_ID,0))</f>
        <v/>
      </c>
      <c r="H260" s="1868"/>
      <c r="I260" s="1747"/>
      <c r="J260" s="1781"/>
      <c r="K260" s="1786"/>
      <c r="L260" s="1868" t="s">
        <v>321</v>
      </c>
      <c r="M260" s="350"/>
      <c r="N260" s="343"/>
      <c r="O260" s="1633"/>
      <c r="P260" s="1633"/>
      <c r="AH260" s="1640">
        <v>0</v>
      </c>
    </row>
    <row s="1644" customFormat="1" customHeight="1" ht="18.75" hidden="1">
      <c r="A261" s="1788"/>
      <c r="B261" s="1788"/>
      <c r="C261" s="378" t="s">
        <v>1458</v>
      </c>
      <c r="D261" s="2490"/>
      <c r="E261" s="2232"/>
      <c r="F261" s="2411"/>
      <c r="G261" s="2455"/>
      <c r="H261" s="1509"/>
      <c r="I261" s="660" t="s">
        <v>1457</v>
      </c>
      <c r="J261" s="580"/>
      <c r="K261" s="1509"/>
      <c r="L261" s="223"/>
      <c r="M261" s="350"/>
      <c r="N261" s="343"/>
      <c r="O261" s="1633"/>
      <c r="P261" s="1633"/>
      <c r="AH261" s="1640">
        <v>0</v>
      </c>
    </row>
    <row s="1644" customFormat="1" customHeight="1" ht="0.75" hidden="1">
      <c r="A262" s="1788"/>
      <c r="B262" s="1788"/>
      <c r="C262" s="378" t="s">
        <v>1465</v>
      </c>
      <c r="D262" s="2490"/>
      <c r="E262" s="2232"/>
      <c r="F262" s="2411"/>
      <c r="G262" s="409"/>
      <c r="H262" s="1509"/>
      <c r="I262" s="660"/>
      <c r="J262" s="580"/>
      <c r="K262" s="1509"/>
      <c r="L262" s="223"/>
      <c r="M262" s="350"/>
      <c r="N262" s="343"/>
      <c r="O262" s="1633"/>
      <c r="P262" s="1633"/>
      <c r="AH262" s="1640">
        <v>0</v>
      </c>
    </row>
    <row s="1644" customFormat="1" customHeight="1" ht="18.75" hidden="1">
      <c r="A263" s="1788" t="s">
        <v>285</v>
      </c>
      <c r="B263" s="1788" t="s">
        <v>286</v>
      </c>
      <c r="C263" s="378"/>
      <c r="D263" s="2490"/>
      <c r="E263" s="2232"/>
      <c r="F263" s="2411" t="str">
        <f>INDEX(PT_DIFFERENTIATION_VTAR,MATCH(A263,PT_DIFFERENTIATION_VTAR_ID,0))</f>
        <v>Тариф на транспортировку сточных вод</v>
      </c>
      <c r="G263" s="2455" t="str">
        <f>INDEX(PT_DIFFERENTIATION_NTAR,MATCH(B263,PT_DIFFERENTIATION_NTAR_ID,0))</f>
        <v/>
      </c>
      <c r="H263" s="1868"/>
      <c r="I263" s="1747"/>
      <c r="J263" s="1781"/>
      <c r="K263" s="1786"/>
      <c r="L263" s="1868" t="s">
        <v>321</v>
      </c>
      <c r="M263" s="350"/>
      <c r="N263" s="343"/>
      <c r="O263" s="1633"/>
      <c r="P263" s="1633"/>
      <c r="AH263" s="1640">
        <v>0</v>
      </c>
    </row>
    <row s="1644" customFormat="1" customHeight="1" ht="18.75" hidden="1">
      <c r="A264" s="1788"/>
      <c r="B264" s="1788"/>
      <c r="C264" s="378" t="s">
        <v>1458</v>
      </c>
      <c r="D264" s="2490"/>
      <c r="E264" s="2232"/>
      <c r="F264" s="2411"/>
      <c r="G264" s="2455"/>
      <c r="H264" s="1509"/>
      <c r="I264" s="660" t="s">
        <v>1457</v>
      </c>
      <c r="J264" s="580"/>
      <c r="K264" s="1509"/>
      <c r="L264" s="223"/>
      <c r="M264" s="350"/>
      <c r="N264" s="343"/>
      <c r="O264" s="1633"/>
      <c r="P264" s="1633"/>
      <c r="AH264" s="1640">
        <v>0</v>
      </c>
    </row>
    <row s="1644" customFormat="1" customHeight="1" ht="0.75" hidden="1">
      <c r="A265" s="1788"/>
      <c r="B265" s="1788"/>
      <c r="C265" s="378" t="s">
        <v>1465</v>
      </c>
      <c r="D265" s="2490"/>
      <c r="E265" s="2232"/>
      <c r="F265" s="2411"/>
      <c r="G265" s="409"/>
      <c r="H265" s="1509"/>
      <c r="I265" s="660"/>
      <c r="J265" s="580"/>
      <c r="K265" s="1509"/>
      <c r="L265" s="223"/>
      <c r="M265" s="350"/>
      <c r="N265" s="343"/>
      <c r="O265" s="1633"/>
      <c r="P265" s="1633"/>
      <c r="AH265" s="1640">
        <v>0</v>
      </c>
    </row>
    <row s="1644" customFormat="1" customHeight="1" ht="18.75" hidden="1">
      <c r="A266" s="1788" t="s">
        <v>290</v>
      </c>
      <c r="B266" s="1788" t="s">
        <v>291</v>
      </c>
      <c r="C266" s="378"/>
      <c r="D266" s="2490"/>
      <c r="E266" s="2232"/>
      <c r="F266" s="2411" t="str">
        <f>INDEX(PT_DIFFERENTIATION_VTAR,MATCH(A266,PT_DIFFERENTIATION_VTAR_ID,0))</f>
        <v>Тариф на подключение (технологическое присоединение) к централизованной системе водоотведения</v>
      </c>
      <c r="G266" s="2455" t="str">
        <f>INDEX(PT_DIFFERENTIATION_NTAR,MATCH(B266,PT_DIFFERENTIATION_NTAR_ID,0))</f>
        <v/>
      </c>
      <c r="H266" s="1868"/>
      <c r="I266" s="1747"/>
      <c r="J266" s="1781"/>
      <c r="K266" s="1786"/>
      <c r="L266" s="1868" t="s">
        <v>321</v>
      </c>
      <c r="M266" s="350"/>
      <c r="N266" s="343"/>
      <c r="O266" s="1633"/>
      <c r="P266" s="1633"/>
      <c r="AH266" s="1640">
        <v>0</v>
      </c>
    </row>
    <row s="1644" customFormat="1" customHeight="1" ht="18.75" hidden="1">
      <c r="A267" s="1788"/>
      <c r="B267" s="1788"/>
      <c r="C267" s="378" t="s">
        <v>1458</v>
      </c>
      <c r="D267" s="2490"/>
      <c r="E267" s="2232"/>
      <c r="F267" s="2411"/>
      <c r="G267" s="2455"/>
      <c r="H267" s="1509"/>
      <c r="I267" s="660" t="s">
        <v>1457</v>
      </c>
      <c r="J267" s="580"/>
      <c r="K267" s="1509"/>
      <c r="L267" s="223"/>
      <c r="M267" s="350"/>
      <c r="N267" s="343"/>
      <c r="O267" s="1633"/>
      <c r="P267" s="1633"/>
      <c r="AH267" s="1640">
        <v>0</v>
      </c>
    </row>
    <row s="1644" customFormat="1" customHeight="1" ht="1.05">
      <c r="A268" s="1788"/>
      <c r="B268" s="1788"/>
      <c r="C268" s="378" t="s">
        <v>1465</v>
      </c>
      <c r="D268" s="2490"/>
      <c r="E268" s="2232"/>
      <c r="F268" s="2411"/>
      <c r="G268" s="409"/>
      <c r="H268" s="1509"/>
      <c r="I268" s="660"/>
      <c r="J268" s="580"/>
      <c r="K268" s="1509"/>
      <c r="L268" s="223"/>
      <c r="M268" s="350"/>
      <c r="N268" s="343"/>
      <c r="O268" s="1633"/>
      <c r="P268" s="1633"/>
      <c r="AH268" s="1640">
        <v>1</v>
      </c>
    </row>
    <row customHeight="1" ht="27.299999999999997">
      <c r="A269" s="1788"/>
      <c r="B269" s="1788"/>
      <c r="D269" s="385"/>
      <c r="E269" s="156" t="s">
        <v>93</v>
      </c>
      <c r="F269" s="24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88"/>
      <c r="H269" s="2488"/>
      <c r="I269" s="2488"/>
      <c r="J269" s="2488"/>
      <c r="K269" s="2488"/>
      <c r="L269" s="2488"/>
      <c r="M269" s="306"/>
      <c r="N269" s="343"/>
      <c r="AH269" s="383">
        <v>26</v>
      </c>
    </row>
    <row s="1644" customFormat="1" customHeight="1" ht="60.75" hidden="1">
      <c r="A270" s="1788" t="s">
        <v>172</v>
      </c>
      <c r="B270" s="1788" t="s">
        <v>173</v>
      </c>
      <c r="C270" s="378"/>
      <c r="D270" s="2490"/>
      <c r="E270" s="2232"/>
      <c r="F270" s="241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55" t="str">
        <f>INDEX(PT_DIFFERENTIATION_NTAR,MATCH(B270,PT_DIFFERENTIATION_NTAR_ID,0))</f>
        <v/>
      </c>
      <c r="H270" s="1868"/>
      <c r="I270" s="1747"/>
      <c r="J270" s="1781"/>
      <c r="K270" s="1786"/>
      <c r="L270" s="1868" t="s">
        <v>321</v>
      </c>
      <c r="M270" s="21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43"/>
      <c r="O270" s="1633"/>
      <c r="P270" s="1633"/>
      <c r="AH270" s="1640">
        <v>0</v>
      </c>
    </row>
    <row s="1644" customFormat="1" customHeight="1" ht="18.75" hidden="1">
      <c r="A271" s="1788"/>
      <c r="B271" s="1788"/>
      <c r="C271" s="378" t="s">
        <v>1458</v>
      </c>
      <c r="D271" s="2490"/>
      <c r="E271" s="2232"/>
      <c r="F271" s="2411"/>
      <c r="G271" s="2455"/>
      <c r="H271" s="1509"/>
      <c r="I271" s="660" t="s">
        <v>1457</v>
      </c>
      <c r="J271" s="580"/>
      <c r="K271" s="1509"/>
      <c r="L271" s="223"/>
      <c r="M271" s="2198"/>
      <c r="N271" s="343"/>
      <c r="O271" s="1633"/>
      <c r="P271" s="1633"/>
      <c r="AH271" s="1640">
        <v>0</v>
      </c>
    </row>
    <row s="1644" customFormat="1" customHeight="1" ht="0.75" hidden="1">
      <c r="A272" s="1788"/>
      <c r="B272" s="1788"/>
      <c r="C272" s="378" t="s">
        <v>1465</v>
      </c>
      <c r="D272" s="2490"/>
      <c r="E272" s="2232"/>
      <c r="F272" s="2411"/>
      <c r="G272" s="409"/>
      <c r="H272" s="1509"/>
      <c r="I272" s="660"/>
      <c r="J272" s="580"/>
      <c r="K272" s="1509"/>
      <c r="L272" s="223"/>
      <c r="M272" s="2198"/>
      <c r="N272" s="343"/>
      <c r="O272" s="1633"/>
      <c r="P272" s="1633"/>
      <c r="AH272" s="1640">
        <v>0</v>
      </c>
    </row>
    <row s="1644" customFormat="1" customHeight="1" ht="45" hidden="1">
      <c r="A273" s="1788" t="s">
        <v>177</v>
      </c>
      <c r="B273" s="1788" t="s">
        <v>178</v>
      </c>
      <c r="C273" s="378"/>
      <c r="D273" s="2490"/>
      <c r="E273" s="2232"/>
      <c r="F273" s="2411" t="str">
        <f>INDEX(PT_DIFFERENTIATION_VTAR,MATCH(A273,PT_DIFFERENTIATION_VTAR_ID,0))</f>
        <v/>
      </c>
      <c r="G273" s="2455" t="str">
        <f>INDEX(PT_DIFFERENTIATION_NTAR,MATCH(B273,PT_DIFFERENTIATION_NTAR_ID,0))</f>
        <v/>
      </c>
      <c r="H273" s="1868"/>
      <c r="I273" s="1747"/>
      <c r="J273" s="1781"/>
      <c r="K273" s="1786"/>
      <c r="L273" s="1868" t="s">
        <v>321</v>
      </c>
      <c r="M273" s="2199"/>
      <c r="N273" s="343"/>
      <c r="O273" s="1633"/>
      <c r="P273" s="1633"/>
      <c r="AH273" s="1640">
        <v>0</v>
      </c>
    </row>
    <row s="1644" customFormat="1" customHeight="1" ht="18.75" hidden="1">
      <c r="A274" s="1788"/>
      <c r="B274" s="1788"/>
      <c r="C274" s="378" t="s">
        <v>1458</v>
      </c>
      <c r="D274" s="2490"/>
      <c r="E274" s="2232"/>
      <c r="F274" s="2411"/>
      <c r="G274" s="2455"/>
      <c r="H274" s="1509"/>
      <c r="I274" s="660" t="s">
        <v>1457</v>
      </c>
      <c r="J274" s="580"/>
      <c r="K274" s="1509"/>
      <c r="L274" s="223"/>
      <c r="M274" s="1867"/>
      <c r="N274" s="343"/>
      <c r="O274" s="1633"/>
      <c r="P274" s="1633"/>
      <c r="AH274" s="1640">
        <v>0</v>
      </c>
    </row>
    <row s="1644" customFormat="1" customHeight="1" ht="0.75" hidden="1">
      <c r="A275" s="1788"/>
      <c r="B275" s="1788"/>
      <c r="C275" s="378" t="s">
        <v>1465</v>
      </c>
      <c r="D275" s="2490"/>
      <c r="E275" s="2232"/>
      <c r="F275" s="2411"/>
      <c r="G275" s="409"/>
      <c r="H275" s="1509"/>
      <c r="I275" s="660"/>
      <c r="J275" s="580"/>
      <c r="K275" s="1509"/>
      <c r="L275" s="223"/>
      <c r="M275" s="350"/>
      <c r="N275" s="343"/>
      <c r="O275" s="1633"/>
      <c r="P275" s="1633"/>
      <c r="AH275" s="1640">
        <v>0</v>
      </c>
    </row>
    <row s="1644" customFormat="1" customHeight="1" ht="45" hidden="1">
      <c r="A276" s="1788" t="s">
        <v>184</v>
      </c>
      <c r="B276" s="1788" t="s">
        <v>185</v>
      </c>
      <c r="C276" s="378"/>
      <c r="D276" s="2490"/>
      <c r="E276" s="2232"/>
      <c r="F276" s="241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55" t="str">
        <f>INDEX(PT_DIFFERENTIATION_NTAR,MATCH(B276,PT_DIFFERENTIATION_NTAR_ID,0))</f>
        <v/>
      </c>
      <c r="H276" s="1868"/>
      <c r="I276" s="1747"/>
      <c r="J276" s="1781"/>
      <c r="K276" s="1786"/>
      <c r="L276" s="1868" t="s">
        <v>321</v>
      </c>
      <c r="M276" s="350"/>
      <c r="N276" s="343"/>
      <c r="O276" s="1633"/>
      <c r="P276" s="1633"/>
      <c r="AH276" s="1640">
        <v>0</v>
      </c>
    </row>
    <row s="1644" customFormat="1" customHeight="1" ht="18.75" hidden="1">
      <c r="A277" s="1788"/>
      <c r="B277" s="1788"/>
      <c r="C277" s="378" t="s">
        <v>1458</v>
      </c>
      <c r="D277" s="2490"/>
      <c r="E277" s="2232"/>
      <c r="F277" s="2411"/>
      <c r="G277" s="2455"/>
      <c r="H277" s="1509"/>
      <c r="I277" s="660" t="s">
        <v>1457</v>
      </c>
      <c r="J277" s="580"/>
      <c r="K277" s="1509"/>
      <c r="L277" s="223"/>
      <c r="M277" s="350"/>
      <c r="N277" s="343"/>
      <c r="O277" s="1633"/>
      <c r="P277" s="1633"/>
      <c r="AH277" s="1640">
        <v>0</v>
      </c>
    </row>
    <row s="1644" customFormat="1" customHeight="1" ht="0.75" hidden="1">
      <c r="A278" s="1788"/>
      <c r="B278" s="1788"/>
      <c r="C278" s="378" t="s">
        <v>1465</v>
      </c>
      <c r="D278" s="2490"/>
      <c r="E278" s="2232"/>
      <c r="F278" s="2411"/>
      <c r="G278" s="409"/>
      <c r="H278" s="1509"/>
      <c r="I278" s="660"/>
      <c r="J278" s="580"/>
      <c r="K278" s="1509"/>
      <c r="L278" s="223"/>
      <c r="M278" s="350"/>
      <c r="N278" s="343"/>
      <c r="O278" s="1633"/>
      <c r="P278" s="1633"/>
      <c r="AH278" s="1640">
        <v>0</v>
      </c>
    </row>
    <row s="1644" customFormat="1" customHeight="1" ht="45" hidden="1">
      <c r="A279" s="1788" t="s">
        <v>190</v>
      </c>
      <c r="B279" s="1788" t="s">
        <v>191</v>
      </c>
      <c r="C279" s="378"/>
      <c r="D279" s="2490"/>
      <c r="E279" s="2232"/>
      <c r="F279" s="241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55" t="str">
        <f>INDEX(PT_DIFFERENTIATION_NTAR,MATCH(B279,PT_DIFFERENTIATION_NTAR_ID,0))</f>
        <v/>
      </c>
      <c r="H279" s="1868"/>
      <c r="I279" s="1747"/>
      <c r="J279" s="1781"/>
      <c r="K279" s="1786"/>
      <c r="L279" s="1868" t="s">
        <v>321</v>
      </c>
      <c r="M279" s="350"/>
      <c r="N279" s="343"/>
      <c r="O279" s="1633"/>
      <c r="P279" s="1633"/>
      <c r="AH279" s="1640">
        <v>0</v>
      </c>
    </row>
    <row s="1644" customFormat="1" customHeight="1" ht="18.75" hidden="1">
      <c r="A280" s="1788"/>
      <c r="B280" s="1788"/>
      <c r="C280" s="378" t="s">
        <v>1458</v>
      </c>
      <c r="D280" s="2490"/>
      <c r="E280" s="2232"/>
      <c r="F280" s="2411"/>
      <c r="G280" s="2455"/>
      <c r="H280" s="1509"/>
      <c r="I280" s="660" t="s">
        <v>1457</v>
      </c>
      <c r="J280" s="580"/>
      <c r="K280" s="1509"/>
      <c r="L280" s="223"/>
      <c r="M280" s="350"/>
      <c r="N280" s="343"/>
      <c r="O280" s="1633"/>
      <c r="P280" s="1633"/>
      <c r="AH280" s="1640">
        <v>0</v>
      </c>
    </row>
    <row s="1644" customFormat="1" customHeight="1" ht="0.75" hidden="1">
      <c r="A281" s="1788"/>
      <c r="B281" s="1788"/>
      <c r="C281" s="378" t="s">
        <v>1465</v>
      </c>
      <c r="D281" s="2490"/>
      <c r="E281" s="2232"/>
      <c r="F281" s="2411"/>
      <c r="G281" s="409"/>
      <c r="H281" s="1509"/>
      <c r="I281" s="660"/>
      <c r="J281" s="580"/>
      <c r="K281" s="1509"/>
      <c r="L281" s="223"/>
      <c r="M281" s="350"/>
      <c r="N281" s="343"/>
      <c r="O281" s="1633"/>
      <c r="P281" s="1633"/>
      <c r="AH281" s="1640">
        <v>0</v>
      </c>
    </row>
    <row s="1644" customFormat="1" customHeight="1" ht="18.75" hidden="1">
      <c r="A282" s="1788" t="s">
        <v>196</v>
      </c>
      <c r="B282" s="1788" t="s">
        <v>197</v>
      </c>
      <c r="C282" s="378"/>
      <c r="D282" s="2490"/>
      <c r="E282" s="2232"/>
      <c r="F282" s="2411" t="str">
        <f>INDEX(PT_DIFFERENTIATION_VTAR,MATCH(A282,PT_DIFFERENTIATION_VTAR_ID,0))</f>
        <v>Тарифы на услуги по передаче тепловой энергии</v>
      </c>
      <c r="G282" s="2455" t="str">
        <f>INDEX(PT_DIFFERENTIATION_NTAR,MATCH(B282,PT_DIFFERENTIATION_NTAR_ID,0))</f>
        <v/>
      </c>
      <c r="H282" s="1868"/>
      <c r="I282" s="1747"/>
      <c r="J282" s="1781"/>
      <c r="K282" s="1786"/>
      <c r="L282" s="1868" t="s">
        <v>321</v>
      </c>
      <c r="M282" s="350"/>
      <c r="N282" s="343"/>
      <c r="O282" s="1633"/>
      <c r="P282" s="1633"/>
      <c r="AH282" s="1640">
        <v>0</v>
      </c>
    </row>
    <row s="1644" customFormat="1" customHeight="1" ht="18.75" hidden="1">
      <c r="A283" s="1788"/>
      <c r="B283" s="1788"/>
      <c r="C283" s="378" t="s">
        <v>1458</v>
      </c>
      <c r="D283" s="2490"/>
      <c r="E283" s="2232"/>
      <c r="F283" s="2411"/>
      <c r="G283" s="2455"/>
      <c r="H283" s="1509"/>
      <c r="I283" s="660" t="s">
        <v>1457</v>
      </c>
      <c r="J283" s="580"/>
      <c r="K283" s="1509"/>
      <c r="L283" s="223"/>
      <c r="M283" s="350"/>
      <c r="N283" s="343"/>
      <c r="O283" s="1633"/>
      <c r="P283" s="1633"/>
      <c r="AH283" s="1640">
        <v>0</v>
      </c>
    </row>
    <row s="1644" customFormat="1" customHeight="1" ht="0.75" hidden="1">
      <c r="A284" s="1788"/>
      <c r="B284" s="1788"/>
      <c r="C284" s="378" t="s">
        <v>1465</v>
      </c>
      <c r="D284" s="2490"/>
      <c r="E284" s="2232"/>
      <c r="F284" s="2411"/>
      <c r="G284" s="409"/>
      <c r="H284" s="1509"/>
      <c r="I284" s="660"/>
      <c r="J284" s="580"/>
      <c r="K284" s="1509"/>
      <c r="L284" s="223"/>
      <c r="M284" s="350"/>
      <c r="N284" s="343"/>
      <c r="O284" s="1633"/>
      <c r="P284" s="1633"/>
      <c r="AH284" s="1640">
        <v>0</v>
      </c>
    </row>
    <row s="1644" customFormat="1" customHeight="1" ht="18.75" hidden="1">
      <c r="A285" s="1788" t="s">
        <v>202</v>
      </c>
      <c r="B285" s="1788" t="s">
        <v>203</v>
      </c>
      <c r="C285" s="378"/>
      <c r="D285" s="2490"/>
      <c r="E285" s="2232"/>
      <c r="F285" s="2411" t="str">
        <f>INDEX(PT_DIFFERENTIATION_VTAR,MATCH(A285,PT_DIFFERENTIATION_VTAR_ID,0))</f>
        <v>Тарифы на услуги по передаче теплоносителя</v>
      </c>
      <c r="G285" s="2455" t="str">
        <f>INDEX(PT_DIFFERENTIATION_NTAR,MATCH(B285,PT_DIFFERENTIATION_NTAR_ID,0))</f>
        <v/>
      </c>
      <c r="H285" s="1868"/>
      <c r="I285" s="1747"/>
      <c r="J285" s="1781"/>
      <c r="K285" s="1786"/>
      <c r="L285" s="1868" t="s">
        <v>321</v>
      </c>
      <c r="M285" s="350"/>
      <c r="N285" s="343"/>
      <c r="O285" s="1633"/>
      <c r="P285" s="1633"/>
      <c r="AH285" s="1640">
        <v>0</v>
      </c>
    </row>
    <row s="1644" customFormat="1" customHeight="1" ht="18.75" hidden="1">
      <c r="A286" s="1788"/>
      <c r="B286" s="1788"/>
      <c r="C286" s="378" t="s">
        <v>1458</v>
      </c>
      <c r="D286" s="2490"/>
      <c r="E286" s="2232"/>
      <c r="F286" s="2411"/>
      <c r="G286" s="2455"/>
      <c r="H286" s="1509"/>
      <c r="I286" s="660" t="s">
        <v>1457</v>
      </c>
      <c r="J286" s="580"/>
      <c r="K286" s="1509"/>
      <c r="L286" s="223"/>
      <c r="M286" s="350"/>
      <c r="N286" s="343"/>
      <c r="O286" s="1633"/>
      <c r="P286" s="1633"/>
      <c r="AH286" s="1640">
        <v>0</v>
      </c>
    </row>
    <row s="1644" customFormat="1" customHeight="1" ht="0.75" hidden="1">
      <c r="A287" s="1788"/>
      <c r="B287" s="1788"/>
      <c r="C287" s="378" t="s">
        <v>1465</v>
      </c>
      <c r="D287" s="2490"/>
      <c r="E287" s="2232"/>
      <c r="F287" s="2411"/>
      <c r="G287" s="409"/>
      <c r="H287" s="1509"/>
      <c r="I287" s="660"/>
      <c r="J287" s="580"/>
      <c r="K287" s="1509"/>
      <c r="L287" s="223"/>
      <c r="M287" s="350"/>
      <c r="N287" s="343"/>
      <c r="O287" s="1633"/>
      <c r="P287" s="1633"/>
      <c r="AH287" s="1640">
        <v>0</v>
      </c>
    </row>
    <row s="1644" customFormat="1" customHeight="1" ht="18.75" hidden="1">
      <c r="A288" s="1788" t="s">
        <v>208</v>
      </c>
      <c r="B288" s="1788" t="s">
        <v>209</v>
      </c>
      <c r="C288" s="378"/>
      <c r="D288" s="2490"/>
      <c r="E288" s="2232"/>
      <c r="F288" s="241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55" t="str">
        <f>INDEX(PT_DIFFERENTIATION_NTAR,MATCH(B288,PT_DIFFERENTIATION_NTAR_ID,0))</f>
        <v/>
      </c>
      <c r="H288" s="1868"/>
      <c r="I288" s="1747"/>
      <c r="J288" s="1781"/>
      <c r="K288" s="1786"/>
      <c r="L288" s="1868" t="s">
        <v>321</v>
      </c>
      <c r="M288" s="350"/>
      <c r="N288" s="343"/>
      <c r="O288" s="1633"/>
      <c r="P288" s="1633"/>
      <c r="AH288" s="1640">
        <v>0</v>
      </c>
    </row>
    <row s="1644" customFormat="1" customHeight="1" ht="18.75" hidden="1">
      <c r="A289" s="1788"/>
      <c r="B289" s="1788"/>
      <c r="C289" s="378" t="s">
        <v>1458</v>
      </c>
      <c r="D289" s="2490"/>
      <c r="E289" s="2232"/>
      <c r="F289" s="2411"/>
      <c r="G289" s="2455"/>
      <c r="H289" s="1509"/>
      <c r="I289" s="660" t="s">
        <v>1457</v>
      </c>
      <c r="J289" s="580"/>
      <c r="K289" s="1509"/>
      <c r="L289" s="223"/>
      <c r="M289" s="350"/>
      <c r="N289" s="343"/>
      <c r="O289" s="1633"/>
      <c r="P289" s="1633"/>
      <c r="AH289" s="1640">
        <v>0</v>
      </c>
    </row>
    <row s="1644" customFormat="1" customHeight="1" ht="0.75" hidden="1">
      <c r="A290" s="1788"/>
      <c r="B290" s="1788"/>
      <c r="C290" s="378" t="s">
        <v>1465</v>
      </c>
      <c r="D290" s="2490"/>
      <c r="E290" s="2232"/>
      <c r="F290" s="2411"/>
      <c r="G290" s="409"/>
      <c r="H290" s="1509"/>
      <c r="I290" s="660"/>
      <c r="J290" s="580"/>
      <c r="K290" s="1509"/>
      <c r="L290" s="223"/>
      <c r="M290" s="350"/>
      <c r="N290" s="343"/>
      <c r="O290" s="1633"/>
      <c r="P290" s="1633"/>
      <c r="AH290" s="1640">
        <v>0</v>
      </c>
    </row>
    <row s="1644" customFormat="1" customHeight="1" ht="18.75" hidden="1">
      <c r="A291" s="1788" t="s">
        <v>214</v>
      </c>
      <c r="B291" s="1788" t="s">
        <v>215</v>
      </c>
      <c r="C291" s="378"/>
      <c r="D291" s="2490"/>
      <c r="E291" s="2232"/>
      <c r="F291" s="2411" t="str">
        <f>INDEX(PT_DIFFERENTIATION_VTAR,MATCH(A291,PT_DIFFERENTIATION_VTAR_ID,0))</f>
        <v>Плата за подключение (технологическое присоединение) к системе теплоснабжения</v>
      </c>
      <c r="G291" s="2455" t="str">
        <f>INDEX(PT_DIFFERENTIATION_NTAR,MATCH(B291,PT_DIFFERENTIATION_NTAR_ID,0))</f>
        <v/>
      </c>
      <c r="H291" s="1868"/>
      <c r="I291" s="1747"/>
      <c r="J291" s="1781"/>
      <c r="K291" s="1786"/>
      <c r="L291" s="1868" t="s">
        <v>321</v>
      </c>
      <c r="M291" s="350"/>
      <c r="N291" s="343"/>
      <c r="O291" s="1633"/>
      <c r="P291" s="1633"/>
      <c r="AH291" s="1640">
        <v>0</v>
      </c>
    </row>
    <row s="1644" customFormat="1" customHeight="1" ht="18.75" hidden="1">
      <c r="A292" s="1788"/>
      <c r="B292" s="1788"/>
      <c r="C292" s="378" t="s">
        <v>1458</v>
      </c>
      <c r="D292" s="2490"/>
      <c r="E292" s="2232"/>
      <c r="F292" s="2411"/>
      <c r="G292" s="2455"/>
      <c r="H292" s="1509"/>
      <c r="I292" s="660" t="s">
        <v>1457</v>
      </c>
      <c r="J292" s="580"/>
      <c r="K292" s="1509"/>
      <c r="L292" s="223"/>
      <c r="M292" s="350"/>
      <c r="N292" s="343"/>
      <c r="O292" s="1633"/>
      <c r="P292" s="1633"/>
      <c r="AH292" s="1640">
        <v>0</v>
      </c>
    </row>
    <row s="1644" customFormat="1" customHeight="1" ht="0.75" hidden="1">
      <c r="A293" s="1788"/>
      <c r="B293" s="1788"/>
      <c r="C293" s="378" t="s">
        <v>1465</v>
      </c>
      <c r="D293" s="2490"/>
      <c r="E293" s="2232"/>
      <c r="F293" s="2411"/>
      <c r="G293" s="409"/>
      <c r="H293" s="1509"/>
      <c r="I293" s="660"/>
      <c r="J293" s="580"/>
      <c r="K293" s="1509"/>
      <c r="L293" s="223"/>
      <c r="M293" s="350"/>
      <c r="N293" s="343"/>
      <c r="O293" s="1633"/>
      <c r="P293" s="1633"/>
      <c r="AH293" s="1640">
        <v>0</v>
      </c>
    </row>
    <row s="1644" customFormat="1" customHeight="1" ht="18.75" hidden="1">
      <c r="A294" s="1788" t="s">
        <v>220</v>
      </c>
      <c r="B294" s="1788" t="s">
        <v>221</v>
      </c>
      <c r="C294" s="378"/>
      <c r="D294" s="2490"/>
      <c r="E294" s="2232"/>
      <c r="F294" s="2411" t="str">
        <f>INDEX(PT_DIFFERENTIATION_VTAR,MATCH(A294,PT_DIFFERENTIATION_VTAR_ID,0))</f>
        <v>Плата за подключение (технологическое присоединение) к системе теплоснабжения (индивидуальная)</v>
      </c>
      <c r="G294" s="2455" t="str">
        <f>INDEX(PT_DIFFERENTIATION_NTAR,MATCH(B294,PT_DIFFERENTIATION_NTAR_ID,0))</f>
        <v/>
      </c>
      <c r="H294" s="1995"/>
      <c r="I294" s="1747"/>
      <c r="J294" s="1781"/>
      <c r="K294" s="1786"/>
      <c r="L294" s="1995" t="s">
        <v>321</v>
      </c>
      <c r="M294" s="350"/>
      <c r="N294" s="343"/>
      <c r="O294" s="1633"/>
      <c r="P294" s="1633"/>
      <c r="AH294" s="1640">
        <v>0</v>
      </c>
    </row>
    <row s="1644" customFormat="1" customHeight="1" ht="18.75" hidden="1">
      <c r="A295" s="1788"/>
      <c r="B295" s="1788"/>
      <c r="C295" s="378" t="s">
        <v>1458</v>
      </c>
      <c r="D295" s="2490"/>
      <c r="E295" s="2232"/>
      <c r="F295" s="2411"/>
      <c r="G295" s="2455"/>
      <c r="H295" s="1509"/>
      <c r="I295" s="660" t="s">
        <v>1457</v>
      </c>
      <c r="J295" s="580"/>
      <c r="K295" s="1509"/>
      <c r="L295" s="223"/>
      <c r="M295" s="350"/>
      <c r="N295" s="343"/>
      <c r="O295" s="1633"/>
      <c r="P295" s="1633"/>
      <c r="AH295" s="1640">
        <v>0</v>
      </c>
    </row>
    <row s="1644" customFormat="1" customHeight="1" ht="0.75" hidden="1">
      <c r="A296" s="1788"/>
      <c r="B296" s="1788"/>
      <c r="C296" s="378" t="s">
        <v>1465</v>
      </c>
      <c r="D296" s="2490"/>
      <c r="E296" s="2232"/>
      <c r="F296" s="2411"/>
      <c r="G296" s="409"/>
      <c r="H296" s="1509"/>
      <c r="I296" s="660"/>
      <c r="J296" s="580"/>
      <c r="K296" s="1509"/>
      <c r="L296" s="223"/>
      <c r="M296" s="350"/>
      <c r="N296" s="343"/>
      <c r="O296" s="1633"/>
      <c r="P296" s="1633"/>
      <c r="AH296" s="1640">
        <v>0</v>
      </c>
    </row>
    <row s="1644" customFormat="1" customHeight="1" ht="18.75" hidden="1">
      <c r="A297" s="1788" t="s">
        <v>240</v>
      </c>
      <c r="B297" s="1788" t="s">
        <v>241</v>
      </c>
      <c r="C297" s="378"/>
      <c r="D297" s="2490"/>
      <c r="E297" s="2232"/>
      <c r="F297" s="2411" t="str">
        <f>INDEX(PT_DIFFERENTIATION_VTAR,MATCH(A297,PT_DIFFERENTIATION_VTAR_ID,0))</f>
        <v>Тариф на питьевую воду (питьевое водоснабжение)</v>
      </c>
      <c r="G297" s="2455" t="str">
        <f>INDEX(PT_DIFFERENTIATION_NTAR,MATCH(B297,PT_DIFFERENTIATION_NTAR_ID,0))</f>
        <v/>
      </c>
      <c r="H297" s="1868"/>
      <c r="I297" s="1747"/>
      <c r="J297" s="1781"/>
      <c r="K297" s="1786"/>
      <c r="L297" s="1868" t="s">
        <v>321</v>
      </c>
      <c r="M297" s="350"/>
      <c r="N297" s="343"/>
      <c r="O297" s="1633"/>
      <c r="P297" s="1633"/>
      <c r="AH297" s="1640">
        <v>0</v>
      </c>
    </row>
    <row s="1644" customFormat="1" customHeight="1" ht="18.75" hidden="1">
      <c r="A298" s="1788"/>
      <c r="B298" s="1788"/>
      <c r="C298" s="378" t="s">
        <v>1458</v>
      </c>
      <c r="D298" s="2490"/>
      <c r="E298" s="2232"/>
      <c r="F298" s="2411"/>
      <c r="G298" s="2455"/>
      <c r="H298" s="1509"/>
      <c r="I298" s="660" t="s">
        <v>1457</v>
      </c>
      <c r="J298" s="580"/>
      <c r="K298" s="1509"/>
      <c r="L298" s="223"/>
      <c r="M298" s="350"/>
      <c r="N298" s="343"/>
      <c r="O298" s="1633"/>
      <c r="P298" s="1633"/>
      <c r="AH298" s="1640">
        <v>0</v>
      </c>
    </row>
    <row s="1644" customFormat="1" customHeight="1" ht="0.75" hidden="1">
      <c r="A299" s="1788"/>
      <c r="B299" s="1788"/>
      <c r="C299" s="378" t="s">
        <v>1465</v>
      </c>
      <c r="D299" s="2490"/>
      <c r="E299" s="2232"/>
      <c r="F299" s="2411"/>
      <c r="G299" s="409"/>
      <c r="H299" s="1509"/>
      <c r="I299" s="660"/>
      <c r="J299" s="580"/>
      <c r="K299" s="1509"/>
      <c r="L299" s="223"/>
      <c r="M299" s="350"/>
      <c r="N299" s="343"/>
      <c r="O299" s="1633"/>
      <c r="P299" s="1633"/>
      <c r="AH299" s="1640">
        <v>0</v>
      </c>
    </row>
    <row s="1644" customFormat="1" customHeight="1" ht="18.75" hidden="1">
      <c r="A300" s="1788" t="s">
        <v>245</v>
      </c>
      <c r="B300" s="1788" t="s">
        <v>246</v>
      </c>
      <c r="C300" s="378"/>
      <c r="D300" s="2490"/>
      <c r="E300" s="2232"/>
      <c r="F300" s="2411" t="str">
        <f>INDEX(PT_DIFFERENTIATION_VTAR,MATCH(A300,PT_DIFFERENTIATION_VTAR_ID,0))</f>
        <v>Тариф на техническую воду</v>
      </c>
      <c r="G300" s="2455" t="str">
        <f>INDEX(PT_DIFFERENTIATION_NTAR,MATCH(B300,PT_DIFFERENTIATION_NTAR_ID,0))</f>
        <v/>
      </c>
      <c r="H300" s="1868"/>
      <c r="I300" s="1747"/>
      <c r="J300" s="1781"/>
      <c r="K300" s="1786"/>
      <c r="L300" s="1868" t="s">
        <v>321</v>
      </c>
      <c r="M300" s="350"/>
      <c r="N300" s="343"/>
      <c r="O300" s="1633"/>
      <c r="P300" s="1633"/>
      <c r="AH300" s="1640">
        <v>0</v>
      </c>
    </row>
    <row s="1644" customFormat="1" customHeight="1" ht="18.75" hidden="1">
      <c r="A301" s="1788"/>
      <c r="B301" s="1788"/>
      <c r="C301" s="378" t="s">
        <v>1458</v>
      </c>
      <c r="D301" s="2490"/>
      <c r="E301" s="2232"/>
      <c r="F301" s="2411"/>
      <c r="G301" s="2455"/>
      <c r="H301" s="1509"/>
      <c r="I301" s="660" t="s">
        <v>1457</v>
      </c>
      <c r="J301" s="580"/>
      <c r="K301" s="1509"/>
      <c r="L301" s="223"/>
      <c r="M301" s="350"/>
      <c r="N301" s="343"/>
      <c r="O301" s="1633"/>
      <c r="P301" s="1633"/>
      <c r="AH301" s="1640">
        <v>0</v>
      </c>
    </row>
    <row s="1644" customFormat="1" customHeight="1" ht="0.75" hidden="1">
      <c r="A302" s="1788"/>
      <c r="B302" s="1788"/>
      <c r="C302" s="378" t="s">
        <v>1465</v>
      </c>
      <c r="D302" s="2490"/>
      <c r="E302" s="2232"/>
      <c r="F302" s="2411"/>
      <c r="G302" s="409"/>
      <c r="H302" s="1509"/>
      <c r="I302" s="660"/>
      <c r="J302" s="580"/>
      <c r="K302" s="1509"/>
      <c r="L302" s="223"/>
      <c r="M302" s="350"/>
      <c r="N302" s="343"/>
      <c r="O302" s="1633"/>
      <c r="P302" s="1633"/>
      <c r="AH302" s="1640">
        <v>0</v>
      </c>
    </row>
    <row s="1644" customFormat="1" customHeight="1" ht="18.75" hidden="1">
      <c r="A303" s="1788" t="s">
        <v>250</v>
      </c>
      <c r="B303" s="1788" t="s">
        <v>251</v>
      </c>
      <c r="C303" s="378"/>
      <c r="D303" s="2490"/>
      <c r="E303" s="2232"/>
      <c r="F303" s="2411" t="str">
        <f>INDEX(PT_DIFFERENTIATION_VTAR,MATCH(A303,PT_DIFFERENTIATION_VTAR_ID,0))</f>
        <v>Тариф на транспортировку воды</v>
      </c>
      <c r="G303" s="2455" t="str">
        <f>INDEX(PT_DIFFERENTIATION_NTAR,MATCH(B303,PT_DIFFERENTIATION_NTAR_ID,0))</f>
        <v/>
      </c>
      <c r="H303" s="1868"/>
      <c r="I303" s="1747"/>
      <c r="J303" s="1781"/>
      <c r="K303" s="1786"/>
      <c r="L303" s="1868" t="s">
        <v>321</v>
      </c>
      <c r="M303" s="350"/>
      <c r="N303" s="343"/>
      <c r="O303" s="1633"/>
      <c r="P303" s="1633"/>
      <c r="AH303" s="1640">
        <v>0</v>
      </c>
    </row>
    <row s="1644" customFormat="1" customHeight="1" ht="18.75" hidden="1">
      <c r="A304" s="1788"/>
      <c r="B304" s="1788"/>
      <c r="C304" s="378" t="s">
        <v>1458</v>
      </c>
      <c r="D304" s="2490"/>
      <c r="E304" s="2232"/>
      <c r="F304" s="2411"/>
      <c r="G304" s="2455"/>
      <c r="H304" s="1509"/>
      <c r="I304" s="660" t="s">
        <v>1457</v>
      </c>
      <c r="J304" s="580"/>
      <c r="K304" s="1509"/>
      <c r="L304" s="223"/>
      <c r="M304" s="350"/>
      <c r="N304" s="343"/>
      <c r="O304" s="1633"/>
      <c r="P304" s="1633"/>
      <c r="AH304" s="1640">
        <v>0</v>
      </c>
    </row>
    <row s="1644" customFormat="1" customHeight="1" ht="0.75" hidden="1">
      <c r="A305" s="1788"/>
      <c r="B305" s="1788"/>
      <c r="C305" s="378" t="s">
        <v>1465</v>
      </c>
      <c r="D305" s="2490"/>
      <c r="E305" s="2232"/>
      <c r="F305" s="2411"/>
      <c r="G305" s="409"/>
      <c r="H305" s="1509"/>
      <c r="I305" s="660"/>
      <c r="J305" s="580"/>
      <c r="K305" s="1509"/>
      <c r="L305" s="223"/>
      <c r="M305" s="350"/>
      <c r="N305" s="343"/>
      <c r="O305" s="1633"/>
      <c r="P305" s="1633"/>
      <c r="AH305" s="1640">
        <v>0</v>
      </c>
    </row>
    <row s="1644" customFormat="1" customHeight="1" ht="18.75" hidden="1">
      <c r="A306" s="1788" t="s">
        <v>255</v>
      </c>
      <c r="B306" s="1788" t="s">
        <v>256</v>
      </c>
      <c r="C306" s="378"/>
      <c r="D306" s="2490"/>
      <c r="E306" s="2232"/>
      <c r="F306" s="2411" t="str">
        <f>INDEX(PT_DIFFERENTIATION_VTAR,MATCH(A306,PT_DIFFERENTIATION_VTAR_ID,0))</f>
        <v>Тариф на подвоз воды</v>
      </c>
      <c r="G306" s="2455" t="str">
        <f>INDEX(PT_DIFFERENTIATION_NTAR,MATCH(B306,PT_DIFFERENTIATION_NTAR_ID,0))</f>
        <v/>
      </c>
      <c r="H306" s="1868"/>
      <c r="I306" s="1747"/>
      <c r="J306" s="1781"/>
      <c r="K306" s="1786"/>
      <c r="L306" s="1868" t="s">
        <v>321</v>
      </c>
      <c r="M306" s="350"/>
      <c r="N306" s="343"/>
      <c r="O306" s="1633"/>
      <c r="P306" s="1633"/>
      <c r="AH306" s="1640">
        <v>0</v>
      </c>
    </row>
    <row s="1644" customFormat="1" customHeight="1" ht="18.75" hidden="1">
      <c r="A307" s="1788"/>
      <c r="B307" s="1788"/>
      <c r="C307" s="378" t="s">
        <v>1458</v>
      </c>
      <c r="D307" s="2490"/>
      <c r="E307" s="2232"/>
      <c r="F307" s="2411"/>
      <c r="G307" s="2455"/>
      <c r="H307" s="1509"/>
      <c r="I307" s="660" t="s">
        <v>1457</v>
      </c>
      <c r="J307" s="580"/>
      <c r="K307" s="1509"/>
      <c r="L307" s="223"/>
      <c r="M307" s="350"/>
      <c r="N307" s="343"/>
      <c r="O307" s="1633"/>
      <c r="P307" s="1633"/>
      <c r="AH307" s="1640">
        <v>0</v>
      </c>
    </row>
    <row s="1644" customFormat="1" customHeight="1" ht="0.75" hidden="1">
      <c r="A308" s="1788"/>
      <c r="B308" s="1788"/>
      <c r="C308" s="378" t="s">
        <v>1465</v>
      </c>
      <c r="D308" s="2490"/>
      <c r="E308" s="2232"/>
      <c r="F308" s="2411"/>
      <c r="G308" s="409"/>
      <c r="H308" s="1509"/>
      <c r="I308" s="660"/>
      <c r="J308" s="580"/>
      <c r="K308" s="1509"/>
      <c r="L308" s="223"/>
      <c r="M308" s="350"/>
      <c r="N308" s="343"/>
      <c r="O308" s="1633"/>
      <c r="P308" s="1633"/>
      <c r="AH308" s="1640">
        <v>0</v>
      </c>
    </row>
    <row s="1644" customFormat="1" customHeight="1" ht="18.75" hidden="1">
      <c r="A309" s="1788" t="s">
        <v>260</v>
      </c>
      <c r="B309" s="1788" t="s">
        <v>261</v>
      </c>
      <c r="C309" s="378"/>
      <c r="D309" s="2490"/>
      <c r="E309" s="2232"/>
      <c r="F309" s="241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55" t="str">
        <f>INDEX(PT_DIFFERENTIATION_NTAR,MATCH(B309,PT_DIFFERENTIATION_NTAR_ID,0))</f>
        <v/>
      </c>
      <c r="H309" s="1868"/>
      <c r="I309" s="1747"/>
      <c r="J309" s="1781"/>
      <c r="K309" s="1786"/>
      <c r="L309" s="1868" t="s">
        <v>321</v>
      </c>
      <c r="M309" s="350"/>
      <c r="N309" s="343"/>
      <c r="O309" s="1633"/>
      <c r="P309" s="1633"/>
      <c r="AH309" s="1640">
        <v>0</v>
      </c>
    </row>
    <row s="1644" customFormat="1" customHeight="1" ht="18.75" hidden="1">
      <c r="A310" s="1788"/>
      <c r="B310" s="1788"/>
      <c r="C310" s="378" t="s">
        <v>1458</v>
      </c>
      <c r="D310" s="2490"/>
      <c r="E310" s="2232"/>
      <c r="F310" s="2411"/>
      <c r="G310" s="2455"/>
      <c r="H310" s="1509"/>
      <c r="I310" s="660" t="s">
        <v>1457</v>
      </c>
      <c r="J310" s="580"/>
      <c r="K310" s="1509"/>
      <c r="L310" s="223"/>
      <c r="M310" s="350"/>
      <c r="N310" s="343"/>
      <c r="O310" s="1633"/>
      <c r="P310" s="1633"/>
      <c r="AH310" s="1640">
        <v>0</v>
      </c>
    </row>
    <row s="1644" customFormat="1" customHeight="1" ht="0.75" hidden="1">
      <c r="A311" s="1788"/>
      <c r="B311" s="1788"/>
      <c r="C311" s="378" t="s">
        <v>1465</v>
      </c>
      <c r="D311" s="2490"/>
      <c r="E311" s="2232"/>
      <c r="F311" s="2411"/>
      <c r="G311" s="409"/>
      <c r="H311" s="1509"/>
      <c r="I311" s="660"/>
      <c r="J311" s="580"/>
      <c r="K311" s="1509"/>
      <c r="L311" s="223"/>
      <c r="M311" s="350"/>
      <c r="N311" s="343"/>
      <c r="O311" s="1633"/>
      <c r="P311" s="1633"/>
      <c r="AH311" s="1640">
        <v>0</v>
      </c>
    </row>
    <row s="1644" customFormat="1" customHeight="1" ht="18.75" hidden="1">
      <c r="A312" s="1788" t="s">
        <v>265</v>
      </c>
      <c r="B312" s="1788" t="s">
        <v>266</v>
      </c>
      <c r="C312" s="378"/>
      <c r="D312" s="2490"/>
      <c r="E312" s="2232"/>
      <c r="F312" s="2411" t="str">
        <f>INDEX(PT_DIFFERENTIATION_VTAR,MATCH(A312,PT_DIFFERENTIATION_VTAR_ID,0))</f>
        <v>Тариф на горячую воду (горячее водоснабжение)</v>
      </c>
      <c r="G312" s="2455" t="str">
        <f>INDEX(PT_DIFFERENTIATION_NTAR,MATCH(B312,PT_DIFFERENTIATION_NTAR_ID,0))</f>
        <v/>
      </c>
      <c r="H312" s="1868"/>
      <c r="I312" s="1747"/>
      <c r="J312" s="1781"/>
      <c r="K312" s="1786"/>
      <c r="L312" s="1868" t="s">
        <v>321</v>
      </c>
      <c r="M312" s="350"/>
      <c r="N312" s="343"/>
      <c r="O312" s="1633"/>
      <c r="P312" s="1633"/>
      <c r="AH312" s="1640">
        <v>0</v>
      </c>
    </row>
    <row s="1644" customFormat="1" customHeight="1" ht="18.75" hidden="1">
      <c r="A313" s="1788"/>
      <c r="B313" s="1788"/>
      <c r="C313" s="378" t="s">
        <v>1458</v>
      </c>
      <c r="D313" s="2490"/>
      <c r="E313" s="2232"/>
      <c r="F313" s="2411"/>
      <c r="G313" s="2455"/>
      <c r="H313" s="1509"/>
      <c r="I313" s="660" t="s">
        <v>1457</v>
      </c>
      <c r="J313" s="580"/>
      <c r="K313" s="1509"/>
      <c r="L313" s="223"/>
      <c r="M313" s="350"/>
      <c r="N313" s="343"/>
      <c r="O313" s="1633"/>
      <c r="P313" s="1633"/>
      <c r="AH313" s="1640">
        <v>0</v>
      </c>
    </row>
    <row s="1644" customFormat="1" customHeight="1" ht="0.75" hidden="1">
      <c r="A314" s="1788"/>
      <c r="B314" s="1788"/>
      <c r="C314" s="378" t="s">
        <v>1465</v>
      </c>
      <c r="D314" s="2490"/>
      <c r="E314" s="2232"/>
      <c r="F314" s="2411"/>
      <c r="G314" s="409"/>
      <c r="H314" s="1509"/>
      <c r="I314" s="660"/>
      <c r="J314" s="580"/>
      <c r="K314" s="1509"/>
      <c r="L314" s="223"/>
      <c r="M314" s="350"/>
      <c r="N314" s="343"/>
      <c r="O314" s="1633"/>
      <c r="P314" s="1633"/>
      <c r="AH314" s="1640">
        <v>0</v>
      </c>
    </row>
    <row s="1644" customFormat="1" customHeight="1" ht="18.75" hidden="1">
      <c r="A315" s="1788" t="s">
        <v>270</v>
      </c>
      <c r="B315" s="1788" t="s">
        <v>271</v>
      </c>
      <c r="C315" s="378"/>
      <c r="D315" s="2490"/>
      <c r="E315" s="2232"/>
      <c r="F315" s="2411" t="str">
        <f>INDEX(PT_DIFFERENTIATION_VTAR,MATCH(A315,PT_DIFFERENTIATION_VTAR_ID,0))</f>
        <v>Тариф на транспортировку горячей воды</v>
      </c>
      <c r="G315" s="2455" t="str">
        <f>INDEX(PT_DIFFERENTIATION_NTAR,MATCH(B315,PT_DIFFERENTIATION_NTAR_ID,0))</f>
        <v/>
      </c>
      <c r="H315" s="1868"/>
      <c r="I315" s="1747"/>
      <c r="J315" s="1781"/>
      <c r="K315" s="1786"/>
      <c r="L315" s="1868" t="s">
        <v>321</v>
      </c>
      <c r="M315" s="350"/>
      <c r="N315" s="343"/>
      <c r="O315" s="1633"/>
      <c r="P315" s="1633"/>
      <c r="AH315" s="1640">
        <v>0</v>
      </c>
    </row>
    <row s="1644" customFormat="1" customHeight="1" ht="18.75" hidden="1">
      <c r="A316" s="1788"/>
      <c r="B316" s="1788"/>
      <c r="C316" s="378" t="s">
        <v>1458</v>
      </c>
      <c r="D316" s="2490"/>
      <c r="E316" s="2232"/>
      <c r="F316" s="2411"/>
      <c r="G316" s="2455"/>
      <c r="H316" s="1509"/>
      <c r="I316" s="660" t="s">
        <v>1457</v>
      </c>
      <c r="J316" s="580"/>
      <c r="K316" s="1509"/>
      <c r="L316" s="223"/>
      <c r="M316" s="350"/>
      <c r="N316" s="343"/>
      <c r="O316" s="1633"/>
      <c r="P316" s="1633"/>
      <c r="AH316" s="1640">
        <v>0</v>
      </c>
    </row>
    <row s="1644" customFormat="1" customHeight="1" ht="0.75" hidden="1">
      <c r="A317" s="1788"/>
      <c r="B317" s="1788"/>
      <c r="C317" s="378" t="s">
        <v>1465</v>
      </c>
      <c r="D317" s="2490"/>
      <c r="E317" s="2232"/>
      <c r="F317" s="2411"/>
      <c r="G317" s="409"/>
      <c r="H317" s="1509"/>
      <c r="I317" s="660"/>
      <c r="J317" s="580"/>
      <c r="K317" s="1509"/>
      <c r="L317" s="223"/>
      <c r="M317" s="350"/>
      <c r="N317" s="343"/>
      <c r="O317" s="1633"/>
      <c r="P317" s="1633"/>
      <c r="AH317" s="1640">
        <v>0</v>
      </c>
    </row>
    <row s="1644" customFormat="1" customHeight="1" ht="18.75" hidden="1">
      <c r="A318" s="1788" t="s">
        <v>275</v>
      </c>
      <c r="B318" s="1788" t="s">
        <v>276</v>
      </c>
      <c r="C318" s="378"/>
      <c r="D318" s="2490"/>
      <c r="E318" s="2232"/>
      <c r="F318" s="241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55" t="str">
        <f>INDEX(PT_DIFFERENTIATION_NTAR,MATCH(B318,PT_DIFFERENTIATION_NTAR_ID,0))</f>
        <v/>
      </c>
      <c r="H318" s="1868"/>
      <c r="I318" s="1747"/>
      <c r="J318" s="1781"/>
      <c r="K318" s="1786"/>
      <c r="L318" s="1868" t="s">
        <v>321</v>
      </c>
      <c r="M318" s="350"/>
      <c r="N318" s="343"/>
      <c r="O318" s="1633"/>
      <c r="P318" s="1633"/>
      <c r="AH318" s="1640">
        <v>0</v>
      </c>
    </row>
    <row s="1644" customFormat="1" customHeight="1" ht="18.75" hidden="1">
      <c r="A319" s="1788"/>
      <c r="B319" s="1788"/>
      <c r="C319" s="378" t="s">
        <v>1458</v>
      </c>
      <c r="D319" s="2490"/>
      <c r="E319" s="2232"/>
      <c r="F319" s="2411"/>
      <c r="G319" s="2455"/>
      <c r="H319" s="1509"/>
      <c r="I319" s="660" t="s">
        <v>1457</v>
      </c>
      <c r="J319" s="580"/>
      <c r="K319" s="1509"/>
      <c r="L319" s="223"/>
      <c r="M319" s="350"/>
      <c r="N319" s="343"/>
      <c r="O319" s="1633"/>
      <c r="P319" s="1633"/>
      <c r="AH319" s="1640">
        <v>0</v>
      </c>
    </row>
    <row s="1644" customFormat="1" customHeight="1" ht="0.75" hidden="1">
      <c r="A320" s="1788"/>
      <c r="B320" s="1788"/>
      <c r="C320" s="378" t="s">
        <v>1465</v>
      </c>
      <c r="D320" s="2490"/>
      <c r="E320" s="2232"/>
      <c r="F320" s="2411"/>
      <c r="G320" s="409"/>
      <c r="H320" s="1509"/>
      <c r="I320" s="660"/>
      <c r="J320" s="580"/>
      <c r="K320" s="1509"/>
      <c r="L320" s="223"/>
      <c r="M320" s="350"/>
      <c r="N320" s="343"/>
      <c r="O320" s="1633"/>
      <c r="P320" s="1633"/>
      <c r="AH320" s="1640">
        <v>0</v>
      </c>
    </row>
    <row s="1644" customFormat="1" customHeight="1" ht="18.75" hidden="1">
      <c r="A321" s="1788" t="s">
        <v>280</v>
      </c>
      <c r="B321" s="1788" t="s">
        <v>281</v>
      </c>
      <c r="C321" s="378"/>
      <c r="D321" s="2490"/>
      <c r="E321" s="2232"/>
      <c r="F321" s="2411" t="str">
        <f>INDEX(PT_DIFFERENTIATION_VTAR,MATCH(A321,PT_DIFFERENTIATION_VTAR_ID,0))</f>
        <v>Тариф на водоотведение</v>
      </c>
      <c r="G321" s="2455" t="str">
        <f>INDEX(PT_DIFFERENTIATION_NTAR,MATCH(B321,PT_DIFFERENTIATION_NTAR_ID,0))</f>
        <v/>
      </c>
      <c r="H321" s="1868"/>
      <c r="I321" s="1747"/>
      <c r="J321" s="1781"/>
      <c r="K321" s="1786"/>
      <c r="L321" s="1868" t="s">
        <v>321</v>
      </c>
      <c r="M321" s="350"/>
      <c r="N321" s="343"/>
      <c r="O321" s="1633"/>
      <c r="P321" s="1633"/>
      <c r="AH321" s="1640">
        <v>0</v>
      </c>
    </row>
    <row s="1644" customFormat="1" customHeight="1" ht="18.75" hidden="1">
      <c r="A322" s="1788"/>
      <c r="B322" s="1788"/>
      <c r="C322" s="378" t="s">
        <v>1458</v>
      </c>
      <c r="D322" s="2490"/>
      <c r="E322" s="2232"/>
      <c r="F322" s="2411"/>
      <c r="G322" s="2455"/>
      <c r="H322" s="1509"/>
      <c r="I322" s="660" t="s">
        <v>1457</v>
      </c>
      <c r="J322" s="580"/>
      <c r="K322" s="1509"/>
      <c r="L322" s="223"/>
      <c r="M322" s="350"/>
      <c r="N322" s="343"/>
      <c r="O322" s="1633"/>
      <c r="P322" s="1633"/>
      <c r="AH322" s="1640">
        <v>0</v>
      </c>
    </row>
    <row s="1644" customFormat="1" customHeight="1" ht="0.75" hidden="1">
      <c r="A323" s="1788"/>
      <c r="B323" s="1788"/>
      <c r="C323" s="378" t="s">
        <v>1465</v>
      </c>
      <c r="D323" s="2490"/>
      <c r="E323" s="2232"/>
      <c r="F323" s="2411"/>
      <c r="G323" s="409"/>
      <c r="H323" s="1509"/>
      <c r="I323" s="660"/>
      <c r="J323" s="580"/>
      <c r="K323" s="1509"/>
      <c r="L323" s="223"/>
      <c r="M323" s="350"/>
      <c r="N323" s="343"/>
      <c r="O323" s="1633"/>
      <c r="P323" s="1633"/>
      <c r="AH323" s="1640">
        <v>0</v>
      </c>
    </row>
    <row s="1644" customFormat="1" customHeight="1" ht="18.75" hidden="1">
      <c r="A324" s="1788" t="s">
        <v>285</v>
      </c>
      <c r="B324" s="1788" t="s">
        <v>286</v>
      </c>
      <c r="C324" s="378"/>
      <c r="D324" s="2490"/>
      <c r="E324" s="2232"/>
      <c r="F324" s="2411" t="str">
        <f>INDEX(PT_DIFFERENTIATION_VTAR,MATCH(A324,PT_DIFFERENTIATION_VTAR_ID,0))</f>
        <v>Тариф на транспортировку сточных вод</v>
      </c>
      <c r="G324" s="2455" t="str">
        <f>INDEX(PT_DIFFERENTIATION_NTAR,MATCH(B324,PT_DIFFERENTIATION_NTAR_ID,0))</f>
        <v/>
      </c>
      <c r="H324" s="1868"/>
      <c r="I324" s="1747"/>
      <c r="J324" s="1781"/>
      <c r="K324" s="1786"/>
      <c r="L324" s="1868" t="s">
        <v>321</v>
      </c>
      <c r="M324" s="350"/>
      <c r="N324" s="343"/>
      <c r="O324" s="1633"/>
      <c r="P324" s="1633"/>
      <c r="AH324" s="1640">
        <v>0</v>
      </c>
    </row>
    <row s="1644" customFormat="1" customHeight="1" ht="18.75" hidden="1">
      <c r="A325" s="1788"/>
      <c r="B325" s="1788"/>
      <c r="C325" s="378" t="s">
        <v>1458</v>
      </c>
      <c r="D325" s="2490"/>
      <c r="E325" s="2232"/>
      <c r="F325" s="2411"/>
      <c r="G325" s="2455"/>
      <c r="H325" s="1509"/>
      <c r="I325" s="660" t="s">
        <v>1457</v>
      </c>
      <c r="J325" s="580"/>
      <c r="K325" s="1509"/>
      <c r="L325" s="223"/>
      <c r="M325" s="350"/>
      <c r="N325" s="343"/>
      <c r="O325" s="1633"/>
      <c r="P325" s="1633"/>
      <c r="AH325" s="1640">
        <v>0</v>
      </c>
    </row>
    <row s="1644" customFormat="1" customHeight="1" ht="0.75" hidden="1">
      <c r="A326" s="1788"/>
      <c r="B326" s="1788"/>
      <c r="C326" s="378" t="s">
        <v>1465</v>
      </c>
      <c r="D326" s="2490"/>
      <c r="E326" s="2232"/>
      <c r="F326" s="2411"/>
      <c r="G326" s="409"/>
      <c r="H326" s="1509"/>
      <c r="I326" s="660"/>
      <c r="J326" s="580"/>
      <c r="K326" s="1509"/>
      <c r="L326" s="223"/>
      <c r="M326" s="350"/>
      <c r="N326" s="343"/>
      <c r="O326" s="1633"/>
      <c r="P326" s="1633"/>
      <c r="AH326" s="1640">
        <v>0</v>
      </c>
    </row>
    <row s="1644" customFormat="1" customHeight="1" ht="18.75" hidden="1">
      <c r="A327" s="1788" t="s">
        <v>290</v>
      </c>
      <c r="B327" s="1788" t="s">
        <v>291</v>
      </c>
      <c r="C327" s="378"/>
      <c r="D327" s="2490"/>
      <c r="E327" s="2232"/>
      <c r="F327" s="2411" t="str">
        <f>INDEX(PT_DIFFERENTIATION_VTAR,MATCH(A327,PT_DIFFERENTIATION_VTAR_ID,0))</f>
        <v>Тариф на подключение (технологическое присоединение) к централизованной системе водоотведения</v>
      </c>
      <c r="G327" s="2455" t="str">
        <f>INDEX(PT_DIFFERENTIATION_NTAR,MATCH(B327,PT_DIFFERENTIATION_NTAR_ID,0))</f>
        <v/>
      </c>
      <c r="H327" s="1868"/>
      <c r="I327" s="1747"/>
      <c r="J327" s="1781"/>
      <c r="K327" s="1786"/>
      <c r="L327" s="1868" t="s">
        <v>321</v>
      </c>
      <c r="M327" s="350"/>
      <c r="N327" s="343"/>
      <c r="O327" s="1633"/>
      <c r="P327" s="1633"/>
      <c r="AH327" s="1640">
        <v>0</v>
      </c>
    </row>
    <row s="1644" customFormat="1" customHeight="1" ht="18.75" hidden="1">
      <c r="A328" s="1788"/>
      <c r="B328" s="1788"/>
      <c r="C328" s="378" t="s">
        <v>1458</v>
      </c>
      <c r="D328" s="2490"/>
      <c r="E328" s="2232"/>
      <c r="F328" s="2411"/>
      <c r="G328" s="2455"/>
      <c r="H328" s="1509"/>
      <c r="I328" s="660" t="s">
        <v>1457</v>
      </c>
      <c r="J328" s="580"/>
      <c r="K328" s="1509"/>
      <c r="L328" s="223"/>
      <c r="M328" s="350"/>
      <c r="N328" s="343"/>
      <c r="O328" s="1633"/>
      <c r="P328" s="1633"/>
      <c r="AH328" s="1640">
        <v>0</v>
      </c>
    </row>
    <row s="1644" customFormat="1" customHeight="1" ht="1.05">
      <c r="A329" s="1788"/>
      <c r="B329" s="1788"/>
      <c r="C329" s="378" t="s">
        <v>1465</v>
      </c>
      <c r="D329" s="2490"/>
      <c r="E329" s="2232"/>
      <c r="F329" s="2411"/>
      <c r="G329" s="409"/>
      <c r="H329" s="1509"/>
      <c r="I329" s="660"/>
      <c r="J329" s="580"/>
      <c r="K329" s="1509"/>
      <c r="L329" s="223"/>
      <c r="M329" s="350"/>
      <c r="N329" s="343"/>
      <c r="O329" s="1633"/>
      <c r="P329" s="1633"/>
      <c r="AH329" s="1640">
        <v>1</v>
      </c>
    </row>
    <row s="1831" customFormat="1" customHeight="1" ht="3">
      <c r="A330" s="1788"/>
      <c r="B330" s="1788"/>
      <c r="C330" s="1789"/>
      <c r="E330" s="411"/>
      <c r="F330" s="411"/>
      <c r="G330" s="411"/>
      <c r="H330" s="411"/>
      <c r="I330" s="411"/>
      <c r="J330" s="411"/>
      <c r="K330" s="411"/>
      <c r="L330" s="411"/>
      <c r="M330" s="411"/>
      <c r="O330" s="205"/>
      <c r="P330" s="205"/>
      <c r="AH330" s="149">
        <v>3</v>
      </c>
    </row>
    <row customHeight="1" ht="26.25">
      <c r="E331" s="211"/>
      <c r="F331" s="2313"/>
      <c r="G331" s="2313"/>
      <c r="H331" s="2313"/>
      <c r="I331" s="2313"/>
      <c r="J331" s="2313"/>
      <c r="K331" s="2313"/>
      <c r="L331" s="2313"/>
      <c r="M331" s="2313"/>
      <c r="AH331" s="383">
        <v>25</v>
      </c>
    </row>
    <row customHeight="1" ht="14.25" hidden="1">
      <c r="A332" s="1787" t="s">
        <v>83</v>
      </c>
      <c r="B332" s="1787">
        <v>0</v>
      </c>
      <c r="C332" s="378">
        <v>0</v>
      </c>
      <c r="D332" s="353">
        <v>3</v>
      </c>
      <c r="E332" s="383">
        <v>6</v>
      </c>
      <c r="F332" s="383">
        <v>46</v>
      </c>
      <c r="G332" s="383">
        <v>35</v>
      </c>
      <c r="H332" s="383">
        <v>3</v>
      </c>
      <c r="I332" s="383">
        <v>11</v>
      </c>
      <c r="J332" s="383">
        <v>11</v>
      </c>
      <c r="K332" s="383">
        <v>35</v>
      </c>
      <c r="L332" s="383">
        <v>35</v>
      </c>
      <c r="M332" s="383">
        <v>84</v>
      </c>
      <c r="N332" s="383">
        <v>10</v>
      </c>
      <c r="O332" s="359">
        <v>10</v>
      </c>
      <c r="P332" s="359">
        <v>10</v>
      </c>
      <c r="Q332" s="383">
        <v>10</v>
      </c>
      <c r="R332" s="383">
        <v>10</v>
      </c>
      <c r="S332" s="383">
        <v>10</v>
      </c>
      <c r="T332" s="383">
        <v>10</v>
      </c>
      <c r="U332" s="383">
        <v>10</v>
      </c>
      <c r="V332" s="383">
        <v>10</v>
      </c>
      <c r="W332" s="383">
        <v>10</v>
      </c>
      <c r="X332" s="383">
        <v>10</v>
      </c>
      <c r="Y332" s="383">
        <v>10</v>
      </c>
      <c r="Z332" s="383">
        <v>10</v>
      </c>
      <c r="AA332" s="383">
        <v>10</v>
      </c>
      <c r="AB332" s="383">
        <v>10</v>
      </c>
      <c r="AC332" s="383">
        <v>10</v>
      </c>
      <c r="AD332" s="383">
        <v>10</v>
      </c>
      <c r="AE332" s="383">
        <v>10</v>
      </c>
      <c r="AF332" s="383">
        <v>10</v>
      </c>
      <c r="AG332" s="383">
        <v>10</v>
      </c>
      <c r="AH332" s="383">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294:J294 I66:J66 I69:J69 I63:J63 I75:J75 I78:J78 I209:J209 I212:J212 I215:J215 I218:J218 I221:J221 I224:J224 I227:J227 I230:J230 I236:J236 I239:J239 I242:J242 I245:J245 I248:J248 I251:J251 I254:J254 I257:J257 I260:J260 I8:J8 I72:J72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81:J8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3E812D-36C4-1F45-CBA7-0.FB8071C3}"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25" width="9.140625" hidden="1" customWidth="1"/>
    <col min="2" max="2" style="1375" width="9.140625" hidden="1" customWidth="1"/>
    <col min="3" max="3" style="353" width="3.00390625" customWidth="1"/>
    <col min="4" max="4" style="1644" width="6.00390625" customWidth="1"/>
    <col min="5" max="5" style="1644" width="53.00390625" customWidth="1"/>
    <col min="6" max="7" style="1644" width="35.00390625" customWidth="1"/>
    <col min="8" max="8" style="1644" width="89.00390625" customWidth="1"/>
    <col min="9" max="9" style="1644" width="10.00390625" customWidth="1"/>
    <col min="10" max="11" style="1633" width="10.00390625" customWidth="1"/>
    <col min="12" max="17" style="1644" width="10.00390625" customWidth="1"/>
    <col min="18" max="18" style="1644" width="10.57421875" hidden="1"/>
  </cols>
  <sheetData>
    <row customHeight="1" ht="22.5" hidden="1">
      <c r="N1" s="264"/>
      <c r="O1" s="264"/>
      <c r="Q1" s="264"/>
      <c r="R1" s="383" t="s">
        <v>14</v>
      </c>
    </row>
    <row s="1644" customFormat="1" customHeight="1" ht="18.75" hidden="1">
      <c r="A2" s="111"/>
      <c r="B2" s="1169"/>
      <c r="C2" s="1738" t="s">
        <v>104</v>
      </c>
      <c r="D2" s="1681"/>
      <c r="E2" s="1690"/>
      <c r="F2" s="266"/>
      <c r="G2" s="1170"/>
      <c r="H2" s="383"/>
      <c r="I2" s="1633"/>
      <c r="J2" s="1633"/>
      <c r="R2" s="1640">
        <v>0</v>
      </c>
    </row>
    <row customHeight="1" ht="14.25" hidden="1">
      <c r="R3" s="383">
        <v>0</v>
      </c>
    </row>
    <row customHeight="1" ht="6.3">
      <c r="C4" s="385"/>
      <c r="D4" s="372"/>
      <c r="E4" s="372"/>
      <c r="F4" s="372"/>
      <c r="G4" s="94"/>
      <c r="H4" s="94"/>
      <c r="R4" s="383">
        <v>6</v>
      </c>
    </row>
    <row customHeight="1" ht="34.5">
      <c r="C5" s="385"/>
      <c r="D5" s="248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83"/>
      <c r="F5" s="2483"/>
      <c r="G5" s="2484"/>
      <c r="H5" s="275"/>
      <c r="R5" s="383">
        <v>33</v>
      </c>
    </row>
    <row s="1644" customFormat="1" customHeight="1" ht="18">
      <c r="A6" s="1677"/>
      <c r="B6" s="1169"/>
      <c r="C6" s="385"/>
      <c r="D6" s="2485" t="str">
        <f>IF(org=0,"Не определено",org)</f>
        <v>АО "ДГК"</v>
      </c>
      <c r="E6" s="2486"/>
      <c r="F6" s="2486"/>
      <c r="G6" s="2487"/>
      <c r="H6" s="275"/>
      <c r="J6" s="1633"/>
      <c r="K6" s="1633"/>
      <c r="R6" s="1640">
        <v>17</v>
      </c>
    </row>
    <row customHeight="1" ht="14.699999999999998">
      <c r="C7" s="385"/>
      <c r="D7" s="372"/>
      <c r="E7" s="398"/>
      <c r="F7" s="398"/>
      <c r="G7" s="761"/>
      <c r="H7" s="202"/>
      <c r="R7" s="383">
        <v>14</v>
      </c>
    </row>
    <row customHeight="1" ht="14.699999999999998">
      <c r="C8" s="385"/>
      <c r="D8" s="2237" t="s">
        <v>315</v>
      </c>
      <c r="E8" s="2237"/>
      <c r="F8" s="2237"/>
      <c r="G8" s="2237"/>
      <c r="H8" s="2417" t="s">
        <v>316</v>
      </c>
      <c r="R8" s="383">
        <v>14</v>
      </c>
    </row>
    <row customHeight="1" ht="24">
      <c r="C9" s="385"/>
      <c r="D9" s="395" t="s">
        <v>89</v>
      </c>
      <c r="E9" s="117" t="s">
        <v>317</v>
      </c>
      <c r="F9" s="117" t="s">
        <v>318</v>
      </c>
      <c r="G9" s="117" t="s">
        <v>405</v>
      </c>
      <c r="H9" s="2417"/>
      <c r="R9" s="383">
        <v>23</v>
      </c>
    </row>
    <row customHeight="1" ht="14.699999999999998">
      <c r="A10" s="352"/>
      <c r="C10" s="385"/>
      <c r="D10" s="156" t="s">
        <v>118</v>
      </c>
      <c r="E10" s="189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66"/>
      <c r="G10" s="222"/>
      <c r="H10" s="2197" t="s">
        <v>1466</v>
      </c>
      <c r="R10" s="383">
        <v>14</v>
      </c>
    </row>
    <row customHeight="1" ht="14.699999999999998">
      <c r="A11" s="352"/>
      <c r="C11" s="385"/>
      <c r="D11" s="156" t="s">
        <v>103</v>
      </c>
      <c r="E11" s="189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266"/>
      <c r="G11" s="222"/>
      <c r="H11" s="2198"/>
      <c r="R11" s="383">
        <v>14</v>
      </c>
    </row>
    <row customHeight="1" ht="14.699999999999998">
      <c r="A12" s="111"/>
      <c r="C12" s="396"/>
      <c r="D12" s="156" t="s">
        <v>91</v>
      </c>
      <c r="E12" s="397" t="str">
        <f>"Сведения о планировании закупочных процедур"&amp;IF(TEMPLATE_SPHERE="TKO"," &lt;1&gt;","")</f>
        <v>Сведения о планировании закупочных процедур</v>
      </c>
      <c r="F12" s="266"/>
      <c r="G12" s="222"/>
      <c r="H12" s="21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359"/>
      <c r="K12" s="383"/>
      <c r="R12" s="383">
        <v>14</v>
      </c>
    </row>
    <row customHeight="1" ht="14.699999999999998">
      <c r="A13" s="111"/>
      <c r="C13" s="396"/>
      <c r="D13" s="156" t="s">
        <v>92</v>
      </c>
      <c r="E13" s="397" t="str">
        <f>"Сведения о результатах проведения закупочных процедур"&amp;IF(TEMPLATE_SPHERE="TKO"," &lt;1&gt;","")</f>
        <v>Сведения о результатах проведения закупочных процедур</v>
      </c>
      <c r="F13" s="266"/>
      <c r="G13" s="222"/>
      <c r="H13" s="2198"/>
      <c r="I13" s="359"/>
      <c r="K13" s="383"/>
      <c r="R13" s="383">
        <v>14</v>
      </c>
    </row>
    <row customHeight="1" ht="14.699999999999998">
      <c r="A14" s="352"/>
      <c r="C14" s="385"/>
      <c r="D14" s="356"/>
      <c r="E14" s="404" t="s">
        <v>337</v>
      </c>
      <c r="F14" s="358"/>
      <c r="G14" s="210"/>
      <c r="H14" s="2199"/>
      <c r="R14" s="383">
        <v>14</v>
      </c>
    </row>
    <row s="1644" customFormat="1" customHeight="1" ht="14.699999999999998">
      <c r="A15" s="352"/>
      <c r="B15" s="1169"/>
      <c r="C15" s="385"/>
      <c r="D15" s="405"/>
      <c r="E15" s="1685"/>
      <c r="F15" s="1686"/>
      <c r="G15" s="1687"/>
      <c r="H15" s="1688"/>
      <c r="J15" s="1633"/>
      <c r="K15" s="1633"/>
      <c r="R15" s="1640">
        <v>14</v>
      </c>
    </row>
    <row customHeight="1" ht="14.699999999999998">
      <c r="D16" s="1689"/>
      <c r="E16" s="2413"/>
      <c r="F16" s="2413"/>
      <c r="G16" s="2413"/>
      <c r="H16" s="2413"/>
      <c r="R16" s="383">
        <v>14</v>
      </c>
    </row>
    <row customHeight="1" ht="22.5" hidden="1">
      <c r="A17" s="373" t="s">
        <v>83</v>
      </c>
      <c r="B17" s="155">
        <v>0</v>
      </c>
      <c r="C17" s="353">
        <v>3</v>
      </c>
      <c r="D17" s="383">
        <v>6</v>
      </c>
      <c r="E17" s="383">
        <v>53</v>
      </c>
      <c r="F17" s="383">
        <v>35</v>
      </c>
      <c r="G17" s="383">
        <v>35</v>
      </c>
      <c r="H17" s="383">
        <v>89</v>
      </c>
      <c r="I17" s="383">
        <v>10</v>
      </c>
      <c r="J17" s="359">
        <v>10</v>
      </c>
      <c r="K17" s="359">
        <v>10</v>
      </c>
      <c r="L17" s="383">
        <v>10</v>
      </c>
      <c r="M17" s="383">
        <v>10</v>
      </c>
      <c r="N17" s="383">
        <v>10</v>
      </c>
      <c r="O17" s="383">
        <v>10</v>
      </c>
      <c r="P17" s="383">
        <v>10</v>
      </c>
      <c r="Q17" s="383">
        <v>10</v>
      </c>
      <c r="R17" s="383">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9505DC-E117-A10D-0CDE-0.D6EF1C23}"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33" width="3.7109375" hidden="1" customWidth="1"/>
    <col min="3" max="3" style="1859" width="3.00390625" customWidth="1"/>
    <col min="4" max="4" style="1859" width="6.00390625" customWidth="1"/>
    <col min="5" max="5" style="1859" width="42.00390625" customWidth="1"/>
    <col min="6" max="6" style="1859" width="15.00390625" customWidth="1"/>
    <col min="7" max="7" style="1859" width="42.00390625" customWidth="1"/>
    <col min="8" max="8" style="1859" width="3.00390625" customWidth="1"/>
    <col min="9" max="9" style="1859" width="5.00390625" customWidth="1"/>
    <col min="10" max="10" style="1859" width="47.00390625" customWidth="1"/>
    <col min="11" max="12" style="1859" width="3.00390625" customWidth="1"/>
    <col min="13" max="13" style="1859" width="5.00390625" customWidth="1"/>
    <col min="14" max="14" style="1859" width="28.00390625" customWidth="1"/>
    <col min="15" max="16" style="1859" width="3.00390625" customWidth="1"/>
    <col min="17" max="17" style="1859" width="5.00390625" customWidth="1"/>
    <col min="18" max="18" style="1859" width="34.00390625" customWidth="1"/>
    <col min="19" max="20" style="1859" width="3.7109375" customWidth="1"/>
    <col min="21" max="21" style="1859" width="5.7109375" customWidth="1"/>
    <col min="22" max="22" style="1859" width="34.421875" customWidth="1"/>
    <col min="23" max="23" style="1859" width="30.00390625" customWidth="1"/>
    <col min="24" max="24" style="1859" width="3.00390625" customWidth="1"/>
    <col min="25" max="28" style="1275" width="9.8515625" hidden="1" customWidth="1"/>
    <col min="29" max="29" style="1275" width="27.00390625" hidden="1" customWidth="1"/>
    <col min="30" max="30" style="1275" width="10.57421875" hidden="1" customWidth="1"/>
    <col min="31" max="31" style="1275" width="10.7109375" hidden="1" customWidth="1"/>
    <col min="32" max="32" style="1275" width="10.00390625" hidden="1" customWidth="1"/>
    <col min="33" max="33" style="1275" width="12.8515625" hidden="1" customWidth="1"/>
    <col min="34" max="34" style="1275" width="24.421875" hidden="1" customWidth="1"/>
    <col min="35" max="35" style="1275" width="15.8515625" hidden="1" customWidth="1"/>
    <col min="36" max="36" style="1275" width="19.421875" hidden="1" customWidth="1"/>
    <col min="37" max="37" style="1275" width="11.00390625" hidden="1" customWidth="1"/>
    <col min="38" max="38" style="1275" width="23.57421875" hidden="1" customWidth="1"/>
    <col min="39" max="39" style="1275" width="23.8515625" hidden="1" customWidth="1"/>
    <col min="40" max="40" style="1275" width="25.28125" hidden="1" customWidth="1"/>
    <col min="41" max="41" style="1275" width="16.8515625" hidden="1" customWidth="1"/>
    <col min="42" max="42" style="1275" width="29.57421875" hidden="1" customWidth="1"/>
    <col min="43" max="43" style="1275" width="29.8515625" hidden="1" customWidth="1"/>
    <col min="44" max="44" style="1859" width="9.140625" hidden="1"/>
  </cols>
  <sheetData>
    <row customHeight="1" ht="11.25" hidden="1">
      <c r="A1" s="165"/>
      <c r="AR1" s="113" t="s">
        <v>14</v>
      </c>
    </row>
    <row customHeight="1" ht="11.25" hidden="1">
      <c r="AR2" s="113">
        <v>0</v>
      </c>
    </row>
    <row customHeight="1" ht="11.25" hidden="1">
      <c r="AR3" s="113">
        <v>0</v>
      </c>
    </row>
    <row customHeight="1" ht="3">
      <c r="AR4" s="113">
        <v>3</v>
      </c>
    </row>
    <row s="598" customFormat="1" customHeight="1" ht="30.45">
      <c r="A5" s="163"/>
      <c r="B5" s="163"/>
      <c r="D5" s="218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86"/>
      <c r="F5" s="2186"/>
      <c r="G5" s="2186"/>
      <c r="H5" s="2186"/>
      <c r="I5" s="2186"/>
      <c r="J5" s="2187"/>
      <c r="K5" s="274"/>
      <c r="L5" s="151"/>
      <c r="M5" s="151"/>
      <c r="N5" s="151"/>
      <c r="O5" s="151"/>
      <c r="P5" s="151"/>
      <c r="Q5" s="151"/>
      <c r="R5" s="151"/>
      <c r="S5" s="299"/>
      <c r="T5" s="299"/>
      <c r="U5" s="299"/>
      <c r="V5" s="299"/>
      <c r="W5" s="151"/>
      <c r="Y5" s="1269"/>
      <c r="Z5" s="1269"/>
      <c r="AA5" s="1269"/>
      <c r="AB5" s="1269"/>
      <c r="AC5" s="1269"/>
      <c r="AD5" s="1269"/>
      <c r="AE5" s="1269"/>
      <c r="AF5" s="1269"/>
      <c r="AG5" s="1269"/>
      <c r="AH5" s="1269"/>
      <c r="AI5" s="1269"/>
      <c r="AJ5" s="1269"/>
      <c r="AK5" s="1269"/>
      <c r="AL5" s="1269"/>
      <c r="AM5" s="1269"/>
      <c r="AN5" s="1269"/>
      <c r="AO5" s="1269"/>
      <c r="AP5" s="1269"/>
      <c r="AQ5" s="1269"/>
      <c r="AR5" s="120">
        <v>29</v>
      </c>
    </row>
    <row s="598" customFormat="1" customHeight="1" ht="14.699999999999998">
      <c r="A6" s="594"/>
      <c r="B6" s="594"/>
      <c r="C6" s="594"/>
      <c r="D6" s="2191" t="str">
        <f>IF(org=0,"Не определено",org)</f>
        <v>АО "ДГК"</v>
      </c>
      <c r="E6" s="2191"/>
      <c r="F6" s="2191"/>
      <c r="G6" s="2191"/>
      <c r="H6" s="2191"/>
      <c r="I6" s="2191"/>
      <c r="J6" s="2191"/>
      <c r="K6" s="595"/>
      <c r="L6" s="595"/>
      <c r="M6" s="595"/>
      <c r="N6" s="595"/>
      <c r="O6" s="879"/>
      <c r="P6" s="879"/>
      <c r="Q6" s="879"/>
      <c r="R6" s="879"/>
      <c r="S6" s="879"/>
      <c r="T6" s="879"/>
      <c r="U6" s="879"/>
      <c r="V6" s="879"/>
      <c r="W6" s="879"/>
      <c r="X6" s="595"/>
      <c r="Y6" s="1270"/>
      <c r="Z6" s="1270"/>
      <c r="AA6" s="1270"/>
      <c r="AB6" s="1270"/>
      <c r="AC6" s="1270"/>
      <c r="AD6" s="1270"/>
      <c r="AE6" s="1270"/>
      <c r="AF6" s="1270"/>
      <c r="AG6" s="1270"/>
      <c r="AH6" s="1270"/>
      <c r="AI6" s="1270"/>
      <c r="AJ6" s="1270"/>
      <c r="AK6" s="1270"/>
      <c r="AL6" s="1270"/>
      <c r="AM6" s="1270"/>
      <c r="AN6" s="1270"/>
      <c r="AO6" s="1270"/>
      <c r="AP6" s="1270"/>
      <c r="AQ6" s="1270"/>
      <c r="AR6" s="596">
        <v>14</v>
      </c>
    </row>
    <row s="308" customFormat="1" customHeight="1" ht="11.549999999999999">
      <c r="A7" s="220"/>
      <c r="B7" s="220"/>
      <c r="D7" s="2188"/>
      <c r="E7" s="2189"/>
      <c r="F7" s="2189"/>
      <c r="G7" s="2189"/>
      <c r="H7" s="2189"/>
      <c r="I7" s="2189"/>
      <c r="J7" s="2190"/>
      <c r="S7" s="308"/>
      <c r="T7" s="308"/>
      <c r="U7" s="308"/>
      <c r="V7" s="308"/>
      <c r="Y7" s="1271"/>
      <c r="Z7" s="1271"/>
      <c r="AA7" s="1271"/>
      <c r="AB7" s="1271"/>
      <c r="AC7" s="1271"/>
      <c r="AD7" s="1271"/>
      <c r="AE7" s="1271"/>
      <c r="AF7" s="1271"/>
      <c r="AG7" s="1271"/>
      <c r="AH7" s="1271"/>
      <c r="AI7" s="1271"/>
      <c r="AJ7" s="1271"/>
      <c r="AK7" s="1271"/>
      <c r="AL7" s="1271"/>
      <c r="AM7" s="1271"/>
      <c r="AN7" s="1271"/>
      <c r="AO7" s="1271"/>
      <c r="AP7" s="1271"/>
      <c r="AQ7" s="1271"/>
      <c r="AR7" s="285">
        <v>11</v>
      </c>
    </row>
    <row s="598" customFormat="1" customHeight="1" ht="1.05">
      <c r="A8" s="163"/>
      <c r="B8" s="163"/>
      <c r="D8" s="221"/>
      <c r="E8" s="221"/>
      <c r="F8" s="221"/>
      <c r="G8" s="221"/>
      <c r="H8" s="221"/>
      <c r="I8" s="221"/>
      <c r="J8" s="221"/>
      <c r="K8" s="221"/>
      <c r="L8" s="221"/>
      <c r="M8" s="221"/>
      <c r="N8" s="221"/>
      <c r="O8" s="221"/>
      <c r="P8" s="221"/>
      <c r="Q8" s="221"/>
      <c r="R8" s="221"/>
      <c r="S8" s="221"/>
      <c r="T8" s="221"/>
      <c r="U8" s="221"/>
      <c r="V8" s="221"/>
      <c r="W8" s="221"/>
      <c r="X8" s="141"/>
      <c r="Y8" s="1269"/>
      <c r="Z8" s="1269"/>
      <c r="AA8" s="1269"/>
      <c r="AB8" s="1269"/>
      <c r="AC8" s="1269"/>
      <c r="AD8" s="1269"/>
      <c r="AE8" s="1269"/>
      <c r="AF8" s="1269"/>
      <c r="AG8" s="1269"/>
      <c r="AH8" s="1269"/>
      <c r="AI8" s="1269"/>
      <c r="AJ8" s="1269"/>
      <c r="AK8" s="1269"/>
      <c r="AL8" s="1269"/>
      <c r="AM8" s="1269"/>
      <c r="AN8" s="1269"/>
      <c r="AO8" s="1269"/>
      <c r="AP8" s="1269"/>
      <c r="AQ8" s="1269"/>
      <c r="AR8" s="120">
        <v>1</v>
      </c>
    </row>
    <row customHeight="1" ht="28.5">
      <c r="D9" s="2155" t="s">
        <v>89</v>
      </c>
      <c r="E9" s="2129" t="s">
        <v>139</v>
      </c>
      <c r="F9" s="2131"/>
      <c r="G9" s="2155" t="s">
        <v>114</v>
      </c>
      <c r="H9" s="2155" t="s">
        <v>89</v>
      </c>
      <c r="I9" s="2155"/>
      <c r="J9" s="2155" t="s">
        <v>140</v>
      </c>
      <c r="K9" s="2183" t="s">
        <v>141</v>
      </c>
      <c r="L9" s="2183"/>
      <c r="M9" s="2183"/>
      <c r="N9" s="2183"/>
      <c r="O9" s="2183" t="s">
        <v>142</v>
      </c>
      <c r="P9" s="2183"/>
      <c r="Q9" s="2183"/>
      <c r="R9" s="2183"/>
      <c r="S9" s="2183" t="s">
        <v>143</v>
      </c>
      <c r="T9" s="2183"/>
      <c r="U9" s="2183"/>
      <c r="V9" s="2183"/>
      <c r="W9" s="2155" t="s">
        <v>144</v>
      </c>
      <c r="AR9" s="113">
        <v>27</v>
      </c>
    </row>
    <row customHeight="1" ht="31.5">
      <c r="D10" s="2155"/>
      <c r="E10" s="1293" t="s">
        <v>90</v>
      </c>
      <c r="F10" s="1293" t="s">
        <v>145</v>
      </c>
      <c r="G10" s="2155"/>
      <c r="H10" s="2155"/>
      <c r="I10" s="2155"/>
      <c r="J10" s="2155"/>
      <c r="K10" s="119" t="s">
        <v>117</v>
      </c>
      <c r="L10" s="2155" t="s">
        <v>89</v>
      </c>
      <c r="M10" s="2155"/>
      <c r="N10" s="119" t="s">
        <v>146</v>
      </c>
      <c r="O10" s="119" t="s">
        <v>117</v>
      </c>
      <c r="P10" s="2155" t="s">
        <v>89</v>
      </c>
      <c r="Q10" s="2155"/>
      <c r="R10" s="119" t="s">
        <v>146</v>
      </c>
      <c r="S10" s="292" t="s">
        <v>117</v>
      </c>
      <c r="T10" s="2155" t="s">
        <v>89</v>
      </c>
      <c r="U10" s="2155"/>
      <c r="V10" s="292" t="s">
        <v>90</v>
      </c>
      <c r="W10" s="2155"/>
      <c r="Z10" s="1268" t="s">
        <v>147</v>
      </c>
      <c r="AA10" s="1268" t="s">
        <v>148</v>
      </c>
      <c r="AB10" s="1268" t="s">
        <v>149</v>
      </c>
      <c r="AC10" s="1268" t="s">
        <v>150</v>
      </c>
      <c r="AD10" s="1268" t="s">
        <v>151</v>
      </c>
      <c r="AE10" s="1268" t="s">
        <v>152</v>
      </c>
      <c r="AF10" s="1268" t="s">
        <v>153</v>
      </c>
      <c r="AG10" s="1268" t="s">
        <v>154</v>
      </c>
      <c r="AH10" s="1268" t="s">
        <v>155</v>
      </c>
      <c r="AI10" s="1268" t="s">
        <v>156</v>
      </c>
      <c r="AJ10" s="1268" t="s">
        <v>157</v>
      </c>
      <c r="AK10" s="1268" t="s">
        <v>158</v>
      </c>
      <c r="AL10" s="1268" t="s">
        <v>159</v>
      </c>
      <c r="AM10" s="1268" t="s">
        <v>160</v>
      </c>
      <c r="AN10" s="1268" t="s">
        <v>161</v>
      </c>
      <c r="AO10" s="1268" t="s">
        <v>162</v>
      </c>
      <c r="AP10" s="1268" t="s">
        <v>163</v>
      </c>
      <c r="AQ10" s="1268" t="s">
        <v>164</v>
      </c>
      <c r="AR10" s="113">
        <v>30</v>
      </c>
    </row>
    <row s="1633" customFormat="1" customHeight="1" ht="12">
      <c r="D11" s="1258" t="s">
        <v>118</v>
      </c>
      <c r="E11" s="1258" t="s">
        <v>103</v>
      </c>
      <c r="F11" s="1258"/>
      <c r="G11" s="1258" t="s">
        <v>91</v>
      </c>
      <c r="H11" s="2184" t="s">
        <v>119</v>
      </c>
      <c r="I11" s="2184"/>
      <c r="J11" s="1258" t="s">
        <v>93</v>
      </c>
      <c r="K11" s="1258" t="s">
        <v>94</v>
      </c>
      <c r="L11" s="2184" t="s">
        <v>120</v>
      </c>
      <c r="M11" s="2184"/>
      <c r="N11" s="1258" t="s">
        <v>165</v>
      </c>
      <c r="O11" s="1258" t="s">
        <v>166</v>
      </c>
      <c r="P11" s="2184" t="s">
        <v>167</v>
      </c>
      <c r="Q11" s="2184"/>
      <c r="R11" s="1258" t="s">
        <v>168</v>
      </c>
      <c r="S11" s="1258" t="s">
        <v>167</v>
      </c>
      <c r="T11" s="2184" t="s">
        <v>168</v>
      </c>
      <c r="U11" s="2184"/>
      <c r="V11" s="1258" t="s">
        <v>169</v>
      </c>
      <c r="W11" s="1258" t="s">
        <v>170</v>
      </c>
      <c r="Y11" s="1268"/>
      <c r="Z11" s="1268"/>
      <c r="AA11" s="1268"/>
      <c r="AB11" s="1268"/>
      <c r="AC11" s="1268"/>
      <c r="AD11" s="1268"/>
      <c r="AE11" s="1268"/>
      <c r="AF11" s="1268"/>
      <c r="AG11" s="1268"/>
      <c r="AH11" s="1268"/>
      <c r="AI11" s="1268"/>
      <c r="AJ11" s="1268"/>
      <c r="AK11" s="1268"/>
      <c r="AL11" s="1268"/>
      <c r="AM11" s="1268"/>
      <c r="AN11" s="1268"/>
      <c r="AO11" s="1268"/>
      <c r="AP11" s="1268"/>
      <c r="AQ11" s="1268"/>
      <c r="AR11" s="286">
        <v>0</v>
      </c>
    </row>
    <row customHeight="1" ht="14.25">
      <c r="C12" s="218"/>
      <c r="D12" s="1291">
        <v>0</v>
      </c>
      <c r="E12" s="259"/>
      <c r="F12" s="259"/>
      <c r="G12" s="259"/>
      <c r="H12" s="260"/>
      <c r="I12" s="260"/>
      <c r="J12" s="167"/>
      <c r="K12" s="121"/>
      <c r="L12" s="167"/>
      <c r="M12" s="167"/>
      <c r="N12" s="261"/>
      <c r="O12" s="121"/>
      <c r="P12" s="167"/>
      <c r="Q12" s="167"/>
      <c r="R12" s="262"/>
      <c r="S12" s="293"/>
      <c r="T12" s="301"/>
      <c r="U12" s="301"/>
      <c r="V12" s="305"/>
      <c r="W12" s="121"/>
      <c r="X12" s="150"/>
      <c r="AR12" s="113">
        <v>0</v>
      </c>
    </row>
    <row s="1859" customFormat="1" customHeight="1" ht="17.25">
      <c r="A13" s="330"/>
      <c r="C13" s="218"/>
      <c r="D13" s="2163">
        <v>1</v>
      </c>
      <c r="E13" s="2171" t="s">
        <v>171</v>
      </c>
      <c r="F13" s="2173" t="s">
        <v>19</v>
      </c>
      <c r="G13" s="2171"/>
      <c r="H13" s="2176"/>
      <c r="I13" s="2178"/>
      <c r="J13" s="2180"/>
      <c r="K13" s="2165"/>
      <c r="L13" s="2165"/>
      <c r="M13" s="2165"/>
      <c r="N13" s="2167"/>
      <c r="O13" s="2165"/>
      <c r="P13" s="2165"/>
      <c r="Q13" s="2165"/>
      <c r="R13" s="2170"/>
      <c r="S13" s="2165"/>
      <c r="T13" s="1429"/>
      <c r="U13" s="1429"/>
      <c r="V13" s="1428"/>
      <c r="W13" s="1305"/>
      <c r="Y13" s="1276"/>
      <c r="Z13" s="1276"/>
      <c r="AA13" s="1276"/>
      <c r="AB13" s="1276"/>
      <c r="AC13" s="1276" t="s">
        <v>172</v>
      </c>
      <c r="AD13" s="1276" t="s">
        <v>173</v>
      </c>
      <c r="AE13" s="1276" t="s">
        <v>174</v>
      </c>
      <c r="AF13" s="1276" t="s">
        <v>175</v>
      </c>
      <c r="AG13" s="1276" t="s">
        <v>176</v>
      </c>
      <c r="AH13" s="127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6" t="str">
        <f>IF($G$13=0,"",$G$13)</f>
        <v/>
      </c>
      <c r="AJ13" s="1276" t="str">
        <f>IF($J$13=0,"",$J$13)</f>
        <v/>
      </c>
      <c r="AK13" s="1276" t="str">
        <f>IF($K$13="нет","без дифференциации",IF($N$13=0,"",$N$13))</f>
        <v/>
      </c>
      <c r="AL13" s="1276" t="str">
        <f>IF($O$13="нет","без дифференциации",IF($R$13=0,"",$R$13))</f>
        <v/>
      </c>
      <c r="AM13" s="1276" t="str">
        <f>IF($S$13="нет","без дифференциации",IF($V$13=0,"",$V$13))</f>
        <v/>
      </c>
      <c r="AN13" s="1276">
        <f>$I$13</f>
        <v>0</v>
      </c>
      <c r="AO13" s="1276" t="str">
        <f>$I$13&amp;"."&amp;$M$13</f>
        <v>.</v>
      </c>
      <c r="AP13" s="1276" t="str">
        <f>$I$13&amp;"."&amp;$M$13&amp;"."&amp;$Q$13</f>
        <v>..</v>
      </c>
      <c r="AQ13" s="1276" t="str">
        <f>$I$13&amp;"."&amp;$M$13&amp;"."&amp;$Q$13&amp;"."&amp;$U$13</f>
        <v>...</v>
      </c>
      <c r="AR13" s="759">
        <v>0</v>
      </c>
    </row>
    <row s="1859" customFormat="1" customHeight="1" ht="17.25">
      <c r="A14" s="330"/>
      <c r="C14" s="329"/>
      <c r="D14" s="2163"/>
      <c r="E14" s="2171"/>
      <c r="F14" s="2174"/>
      <c r="G14" s="2171"/>
      <c r="H14" s="2177"/>
      <c r="I14" s="2179"/>
      <c r="J14" s="2181"/>
      <c r="K14" s="2166"/>
      <c r="L14" s="2166"/>
      <c r="M14" s="2166"/>
      <c r="N14" s="2168"/>
      <c r="O14" s="2166"/>
      <c r="P14" s="2166"/>
      <c r="Q14" s="2166"/>
      <c r="R14" s="2169"/>
      <c r="S14" s="2166"/>
      <c r="T14" s="1306"/>
      <c r="U14" s="1306"/>
      <c r="V14" s="1306"/>
      <c r="W14" s="1307"/>
      <c r="Y14" s="1268"/>
      <c r="Z14" s="1268"/>
      <c r="AA14" s="1268"/>
      <c r="AB14" s="1268"/>
      <c r="AC14" s="1268"/>
      <c r="AD14" s="1268"/>
      <c r="AE14" s="1268"/>
      <c r="AF14" s="1268"/>
      <c r="AG14" s="1268"/>
      <c r="AH14" s="1268"/>
      <c r="AI14" s="1268"/>
      <c r="AJ14" s="1268"/>
      <c r="AK14" s="1268"/>
      <c r="AL14" s="1268"/>
      <c r="AM14" s="1268"/>
      <c r="AN14" s="1268"/>
      <c r="AO14" s="1268"/>
      <c r="AP14" s="1268"/>
      <c r="AQ14" s="1268"/>
      <c r="AR14" s="759">
        <v>0</v>
      </c>
    </row>
    <row s="1859" customFormat="1" customHeight="1" ht="17.25">
      <c r="A15" s="330"/>
      <c r="C15" s="218"/>
      <c r="D15" s="2163"/>
      <c r="E15" s="2171"/>
      <c r="F15" s="2174"/>
      <c r="G15" s="2171"/>
      <c r="H15" s="2177"/>
      <c r="I15" s="2179"/>
      <c r="J15" s="2182"/>
      <c r="K15" s="2166"/>
      <c r="L15" s="2166"/>
      <c r="M15" s="2166"/>
      <c r="N15" s="2169"/>
      <c r="O15" s="2166"/>
      <c r="P15" s="1427"/>
      <c r="Q15" s="1306"/>
      <c r="R15" s="1306"/>
      <c r="S15" s="338"/>
      <c r="T15" s="338"/>
      <c r="U15" s="338"/>
      <c r="V15" s="338"/>
      <c r="W15" s="1307"/>
      <c r="Y15" s="1276"/>
      <c r="Z15" s="1276"/>
      <c r="AA15" s="1276"/>
      <c r="AB15" s="1276"/>
      <c r="AC15" s="1276"/>
      <c r="AD15" s="1276"/>
      <c r="AE15" s="1276"/>
      <c r="AF15" s="1276"/>
      <c r="AG15" s="1276"/>
      <c r="AH15" s="1276"/>
      <c r="AI15" s="1276"/>
      <c r="AJ15" s="1276"/>
      <c r="AK15" s="1276"/>
      <c r="AL15" s="1276"/>
      <c r="AM15" s="1276"/>
      <c r="AN15" s="1276"/>
      <c r="AO15" s="1276"/>
      <c r="AP15" s="1276"/>
      <c r="AQ15" s="1276"/>
      <c r="AR15" s="1426">
        <v>0</v>
      </c>
    </row>
    <row s="1859" customFormat="1" customHeight="1" ht="17.25">
      <c r="A16" s="330"/>
      <c r="C16" s="329"/>
      <c r="D16" s="2163"/>
      <c r="E16" s="2171"/>
      <c r="F16" s="2174"/>
      <c r="G16" s="2171"/>
      <c r="H16" s="2177"/>
      <c r="I16" s="2179"/>
      <c r="J16" s="2182"/>
      <c r="K16" s="2166"/>
      <c r="L16" s="1306"/>
      <c r="M16" s="1306"/>
      <c r="N16" s="1306"/>
      <c r="O16" s="1306"/>
      <c r="P16" s="1306"/>
      <c r="Q16" s="1306"/>
      <c r="R16" s="1306"/>
      <c r="S16" s="338"/>
      <c r="T16" s="338"/>
      <c r="U16" s="338"/>
      <c r="V16" s="338"/>
      <c r="W16" s="1307"/>
      <c r="Y16" s="1268"/>
      <c r="Z16" s="1268"/>
      <c r="AA16" s="1268"/>
      <c r="AB16" s="1268"/>
      <c r="AC16" s="1268"/>
      <c r="AD16" s="1268"/>
      <c r="AE16" s="1268"/>
      <c r="AF16" s="1268"/>
      <c r="AG16" s="1268"/>
      <c r="AH16" s="1268"/>
      <c r="AI16" s="1268"/>
      <c r="AJ16" s="1268"/>
      <c r="AK16" s="1268"/>
      <c r="AL16" s="1268"/>
      <c r="AM16" s="1268"/>
      <c r="AN16" s="1268"/>
      <c r="AO16" s="1268"/>
      <c r="AP16" s="1268"/>
      <c r="AQ16" s="1268"/>
      <c r="AR16" s="1426">
        <v>0</v>
      </c>
    </row>
    <row s="1859" customFormat="1" customHeight="1" ht="17.25">
      <c r="A17" s="330"/>
      <c r="C17" s="329"/>
      <c r="D17" s="2164"/>
      <c r="E17" s="2172"/>
      <c r="F17" s="2175"/>
      <c r="G17" s="2172"/>
      <c r="H17" s="1308"/>
      <c r="I17" s="1309"/>
      <c r="J17" s="1309"/>
      <c r="K17" s="1309"/>
      <c r="L17" s="1309"/>
      <c r="M17" s="1309"/>
      <c r="N17" s="1309"/>
      <c r="O17" s="1309"/>
      <c r="P17" s="1309"/>
      <c r="Q17" s="1309"/>
      <c r="R17" s="1309"/>
      <c r="S17" s="1310"/>
      <c r="T17" s="1310"/>
      <c r="U17" s="1310"/>
      <c r="V17" s="1310"/>
      <c r="W17" s="1311"/>
      <c r="Y17" s="1268"/>
      <c r="Z17" s="1268"/>
      <c r="AA17" s="1268"/>
      <c r="AB17" s="1268"/>
      <c r="AC17" s="1268"/>
      <c r="AD17" s="1268"/>
      <c r="AE17" s="1268"/>
      <c r="AF17" s="1268"/>
      <c r="AG17" s="1268"/>
      <c r="AH17" s="1268"/>
      <c r="AI17" s="1268"/>
      <c r="AJ17" s="1268"/>
      <c r="AK17" s="1268"/>
      <c r="AL17" s="1268"/>
      <c r="AM17" s="1268"/>
      <c r="AN17" s="1268"/>
      <c r="AO17" s="1268"/>
      <c r="AP17" s="1268"/>
      <c r="AQ17" s="1268"/>
      <c r="AR17" s="759">
        <v>0</v>
      </c>
    </row>
    <row s="1859" customFormat="1" customHeight="1" ht="17.25">
      <c r="A18" s="330"/>
      <c r="C18" s="218"/>
      <c r="D18" s="2163">
        <v>2</v>
      </c>
      <c r="E18" s="2192"/>
      <c r="F18" s="2173" t="s">
        <v>19</v>
      </c>
      <c r="G18" s="2171"/>
      <c r="H18" s="2176"/>
      <c r="I18" s="2178"/>
      <c r="J18" s="2180"/>
      <c r="K18" s="2165"/>
      <c r="L18" s="2165"/>
      <c r="M18" s="2165"/>
      <c r="N18" s="2167"/>
      <c r="O18" s="2165"/>
      <c r="P18" s="2165"/>
      <c r="Q18" s="2165"/>
      <c r="R18" s="2170"/>
      <c r="S18" s="2165"/>
      <c r="T18" s="1429"/>
      <c r="U18" s="1429"/>
      <c r="V18" s="1428"/>
      <c r="W18" s="1305"/>
      <c r="X18" s="1276"/>
      <c r="Y18" s="1276"/>
      <c r="Z18" s="1276"/>
      <c r="AA18" s="1276"/>
      <c r="AB18" s="1276"/>
      <c r="AC18" s="1276" t="s">
        <v>177</v>
      </c>
      <c r="AD18" s="1276" t="s">
        <v>178</v>
      </c>
      <c r="AE18" s="1276" t="s">
        <v>179</v>
      </c>
      <c r="AF18" s="1276" t="s">
        <v>180</v>
      </c>
      <c r="AG18" s="1276" t="s">
        <v>181</v>
      </c>
      <c r="AH18" s="1276" t="str">
        <f>IF($E$18=0,"",$E$18)</f>
        <v/>
      </c>
      <c r="AI18" s="1276" t="str">
        <f>IF($G$18=0,"",$G$18)</f>
        <v/>
      </c>
      <c r="AJ18" s="1276" t="str">
        <f>IF($J$18=0,"",$J$18)</f>
        <v/>
      </c>
      <c r="AK18" s="1276" t="str">
        <f>IF($K$18="нет","без дифференциации",IF($N$18=0,"",$N$18))</f>
        <v/>
      </c>
      <c r="AL18" s="1276" t="str">
        <f>IF($O$18="нет","без дифференциации",IF($R$18=0,"",$R$18))</f>
        <v/>
      </c>
      <c r="AM18" s="1276" t="str">
        <f>IF($S$18="нет","без дифференциации",IF($V$18=0,"",$V$18))</f>
        <v/>
      </c>
      <c r="AN18" s="1780">
        <f>$I$18</f>
        <v>0</v>
      </c>
      <c r="AO18" s="1276" t="str">
        <f>$I$18&amp;"."&amp;$M$18</f>
        <v>.</v>
      </c>
      <c r="AP18" s="1268" t="str">
        <f>$I$18&amp;"."&amp;$M$18&amp;"."&amp;$Q$18</f>
        <v>..</v>
      </c>
      <c r="AQ18" s="1268" t="str">
        <f>$I$18&amp;"."&amp;$M$18&amp;"."&amp;$Q$18&amp;"."&amp;$U$18</f>
        <v>...</v>
      </c>
      <c r="AR18" s="1292">
        <v>0</v>
      </c>
    </row>
    <row s="1859" customFormat="1" customHeight="1" ht="17.25">
      <c r="A19" s="330"/>
      <c r="C19" s="329"/>
      <c r="D19" s="2163"/>
      <c r="E19" s="2192"/>
      <c r="F19" s="2174"/>
      <c r="G19" s="2171"/>
      <c r="H19" s="2177"/>
      <c r="I19" s="2179"/>
      <c r="J19" s="2181"/>
      <c r="K19" s="2166"/>
      <c r="L19" s="2166"/>
      <c r="M19" s="2166"/>
      <c r="N19" s="2168"/>
      <c r="O19" s="2166"/>
      <c r="P19" s="2166"/>
      <c r="Q19" s="2166"/>
      <c r="R19" s="2169"/>
      <c r="S19" s="2166"/>
      <c r="T19" s="1306"/>
      <c r="U19" s="1306"/>
      <c r="V19" s="1306"/>
      <c r="W19" s="1307"/>
      <c r="X19" s="1268"/>
      <c r="Y19" s="1268"/>
      <c r="Z19" s="1268"/>
      <c r="AA19" s="1268"/>
      <c r="AB19" s="1268"/>
      <c r="AC19" s="1268"/>
      <c r="AD19" s="1268"/>
      <c r="AE19" s="1268"/>
      <c r="AF19" s="1268"/>
      <c r="AG19" s="1268"/>
      <c r="AH19" s="1268"/>
      <c r="AI19" s="1268"/>
      <c r="AJ19" s="1268"/>
      <c r="AK19" s="1268"/>
      <c r="AL19" s="1268"/>
      <c r="AM19" s="1268"/>
      <c r="AN19" s="1268"/>
      <c r="AO19" s="1268"/>
      <c r="AP19" s="1268"/>
      <c r="AQ19" s="1268"/>
      <c r="AR19" s="1292">
        <v>0</v>
      </c>
    </row>
    <row s="1859" customFormat="1" customHeight="1" ht="17.25">
      <c r="A20" s="330"/>
      <c r="C20" s="329"/>
      <c r="D20" s="2164"/>
      <c r="E20" s="2193"/>
      <c r="F20" s="2174"/>
      <c r="G20" s="2172"/>
      <c r="H20" s="2177"/>
      <c r="I20" s="2179"/>
      <c r="J20" s="2182"/>
      <c r="K20" s="2166"/>
      <c r="L20" s="2166"/>
      <c r="M20" s="2166"/>
      <c r="N20" s="2169"/>
      <c r="O20" s="2166"/>
      <c r="P20" s="1427"/>
      <c r="Q20" s="1306"/>
      <c r="R20" s="1306"/>
      <c r="S20" s="338"/>
      <c r="T20" s="338"/>
      <c r="U20" s="338"/>
      <c r="V20" s="338"/>
      <c r="W20" s="1307"/>
      <c r="X20" s="1268"/>
      <c r="Y20" s="1268"/>
      <c r="Z20" s="1268"/>
      <c r="AA20" s="1268"/>
      <c r="AB20" s="1268"/>
      <c r="AC20" s="1268"/>
      <c r="AD20" s="1268"/>
      <c r="AE20" s="1268"/>
      <c r="AF20" s="1268"/>
      <c r="AG20" s="1268"/>
      <c r="AH20" s="1268"/>
      <c r="AI20" s="1268"/>
      <c r="AJ20" s="1268"/>
      <c r="AK20" s="1268"/>
      <c r="AL20" s="1268"/>
      <c r="AM20" s="1268"/>
      <c r="AN20" s="1268"/>
      <c r="AO20" s="1268"/>
      <c r="AP20" s="1268"/>
      <c r="AQ20" s="1268"/>
      <c r="AR20" s="1292">
        <v>0</v>
      </c>
    </row>
    <row s="1859" customFormat="1" customHeight="1" ht="17.25">
      <c r="A21" s="330"/>
      <c r="C21" s="329"/>
      <c r="D21" s="2164"/>
      <c r="E21" s="2193"/>
      <c r="F21" s="2174"/>
      <c r="G21" s="2172"/>
      <c r="H21" s="2177"/>
      <c r="I21" s="2179"/>
      <c r="J21" s="2182"/>
      <c r="K21" s="2166"/>
      <c r="L21" s="1306"/>
      <c r="M21" s="1306"/>
      <c r="N21" s="1306"/>
      <c r="O21" s="1306"/>
      <c r="P21" s="1306"/>
      <c r="Q21" s="1306"/>
      <c r="R21" s="1306"/>
      <c r="S21" s="338"/>
      <c r="T21" s="338"/>
      <c r="U21" s="338"/>
      <c r="V21" s="338"/>
      <c r="W21" s="1307"/>
      <c r="X21" s="1268"/>
      <c r="Y21" s="1268"/>
      <c r="Z21" s="1268"/>
      <c r="AA21" s="1268"/>
      <c r="AB21" s="1268"/>
      <c r="AC21" s="1268"/>
      <c r="AD21" s="1268"/>
      <c r="AE21" s="1268"/>
      <c r="AF21" s="1268"/>
      <c r="AG21" s="1268"/>
      <c r="AH21" s="1268"/>
      <c r="AI21" s="1268"/>
      <c r="AJ21" s="1268"/>
      <c r="AK21" s="1268"/>
      <c r="AL21" s="1268"/>
      <c r="AM21" s="1268"/>
      <c r="AN21" s="1268"/>
      <c r="AO21" s="1268"/>
      <c r="AP21" s="1268"/>
      <c r="AQ21" s="1268"/>
      <c r="AR21" s="1292">
        <v>0</v>
      </c>
    </row>
    <row s="1859" customFormat="1" customHeight="1" ht="17.25">
      <c r="A22" s="330"/>
      <c r="C22" s="329"/>
      <c r="D22" s="2164"/>
      <c r="E22" s="2193"/>
      <c r="F22" s="2175"/>
      <c r="G22" s="2172"/>
      <c r="H22" s="1308"/>
      <c r="I22" s="1309"/>
      <c r="J22" s="1309"/>
      <c r="K22" s="1309"/>
      <c r="L22" s="1309"/>
      <c r="M22" s="1309"/>
      <c r="N22" s="1309"/>
      <c r="O22" s="1309"/>
      <c r="P22" s="1309"/>
      <c r="Q22" s="1309"/>
      <c r="R22" s="1309"/>
      <c r="S22" s="1310"/>
      <c r="T22" s="1310"/>
      <c r="U22" s="1310"/>
      <c r="V22" s="1310"/>
      <c r="W22" s="1311"/>
      <c r="X22" s="1268"/>
      <c r="Y22" s="1268"/>
      <c r="Z22" s="1268"/>
      <c r="AA22" s="1268"/>
      <c r="AB22" s="1268"/>
      <c r="AC22" s="1268"/>
      <c r="AD22" s="1268"/>
      <c r="AE22" s="1268"/>
      <c r="AF22" s="1268"/>
      <c r="AG22" s="1268"/>
      <c r="AH22" s="1268"/>
      <c r="AI22" s="1268"/>
      <c r="AJ22" s="1268"/>
      <c r="AK22" s="1268"/>
      <c r="AL22" s="1268"/>
      <c r="AM22" s="1268"/>
      <c r="AN22" s="1268"/>
      <c r="AO22" s="1268"/>
      <c r="AP22" s="1268"/>
      <c r="AQ22" s="1268"/>
      <c r="AR22" s="1292">
        <v>0</v>
      </c>
    </row>
    <row s="1859" customFormat="1" customHeight="1" ht="17.25">
      <c r="A23" s="330"/>
      <c r="C23" s="218"/>
      <c r="D23" s="2163">
        <v>2</v>
      </c>
      <c r="E23" s="2171" t="s">
        <v>182</v>
      </c>
      <c r="F23" s="2173" t="s">
        <v>19</v>
      </c>
      <c r="G23" s="2171"/>
      <c r="H23" s="2176"/>
      <c r="I23" s="2178"/>
      <c r="J23" s="2180"/>
      <c r="K23" s="2165"/>
      <c r="L23" s="2165"/>
      <c r="M23" s="2165"/>
      <c r="N23" s="2167"/>
      <c r="O23" s="2165"/>
      <c r="P23" s="2165"/>
      <c r="Q23" s="2165"/>
      <c r="R23" s="2170"/>
      <c r="S23" s="2165"/>
      <c r="T23" s="2004"/>
      <c r="U23" s="2004"/>
      <c r="V23" s="2006"/>
      <c r="W23" s="1305"/>
      <c r="X23" s="1276"/>
      <c r="Y23" s="1276"/>
      <c r="Z23" s="1276"/>
      <c r="AA23" s="1276"/>
      <c r="AB23" s="1276"/>
      <c r="AC23" s="1276" t="s">
        <v>177</v>
      </c>
      <c r="AD23" s="1276" t="s">
        <v>178</v>
      </c>
      <c r="AE23" s="1276" t="s">
        <v>179</v>
      </c>
      <c r="AF23" s="1276" t="s">
        <v>180</v>
      </c>
      <c r="AG23" s="1276" t="s">
        <v>181</v>
      </c>
      <c r="AH23" s="1276"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6" t="str">
        <f>IF($G$23=0,"",$G$23)</f>
        <v/>
      </c>
      <c r="AJ23" s="1276" t="str">
        <f>IF($J$23=0,"",$J$23)</f>
        <v/>
      </c>
      <c r="AK23" s="1276" t="str">
        <f>IF($K$23="нет","без дифференциации",IF($N$23=0,"",$N$23))</f>
        <v/>
      </c>
      <c r="AL23" s="1276" t="str">
        <f>IF($O$23="нет","без дифференциации",IF($R$23=0,"",$R$23))</f>
        <v/>
      </c>
      <c r="AM23" s="1276" t="str">
        <f>IF($S$23="нет","без дифференциации",IF($V$23=0,"",$V$23))</f>
        <v/>
      </c>
      <c r="AN23" s="1780">
        <f>$I$23</f>
        <v>0</v>
      </c>
      <c r="AO23" s="1276" t="str">
        <f>$I$23&amp;"."&amp;$M$23</f>
        <v>.</v>
      </c>
      <c r="AP23" s="1275" t="str">
        <f>$I$23&amp;"."&amp;$M$23&amp;"."&amp;$Q$23</f>
        <v>..</v>
      </c>
      <c r="AQ23" s="1275" t="str">
        <f>$I$23&amp;"."&amp;$M$23&amp;"."&amp;$Q$23&amp;"."&amp;$U$23</f>
        <v>...</v>
      </c>
      <c r="AR23" s="1476">
        <v>0</v>
      </c>
    </row>
    <row s="1859" customFormat="1" customHeight="1" ht="17.25">
      <c r="A24" s="330"/>
      <c r="C24" s="329"/>
      <c r="D24" s="2163"/>
      <c r="E24" s="2171"/>
      <c r="F24" s="2174"/>
      <c r="G24" s="2171"/>
      <c r="H24" s="2177"/>
      <c r="I24" s="2179"/>
      <c r="J24" s="2181"/>
      <c r="K24" s="2166"/>
      <c r="L24" s="2166"/>
      <c r="M24" s="2166"/>
      <c r="N24" s="2168"/>
      <c r="O24" s="2166"/>
      <c r="P24" s="2166"/>
      <c r="Q24" s="2166"/>
      <c r="R24" s="2169"/>
      <c r="S24" s="2166"/>
      <c r="T24" s="2009"/>
      <c r="U24" s="2009"/>
      <c r="V24" s="2009"/>
      <c r="W24" s="2010"/>
      <c r="X24" s="1275"/>
      <c r="Y24" s="1275"/>
      <c r="Z24" s="1275"/>
      <c r="AA24" s="1275"/>
      <c r="AB24" s="1275"/>
      <c r="AC24" s="1275"/>
      <c r="AD24" s="1275"/>
      <c r="AE24" s="1275"/>
      <c r="AF24" s="1275"/>
      <c r="AG24" s="1275"/>
      <c r="AH24" s="1275"/>
      <c r="AI24" s="1275"/>
      <c r="AJ24" s="1275"/>
      <c r="AK24" s="1275"/>
      <c r="AL24" s="1275"/>
      <c r="AM24" s="1275"/>
      <c r="AN24" s="1275"/>
      <c r="AO24" s="1275"/>
      <c r="AP24" s="1275"/>
      <c r="AQ24" s="1275"/>
      <c r="AR24" s="1476">
        <v>0</v>
      </c>
    </row>
    <row s="1859" customFormat="1" customHeight="1" ht="17.25">
      <c r="A25" s="330"/>
      <c r="C25" s="329"/>
      <c r="D25" s="2164"/>
      <c r="E25" s="2172"/>
      <c r="F25" s="2174"/>
      <c r="G25" s="2172"/>
      <c r="H25" s="2177"/>
      <c r="I25" s="2179"/>
      <c r="J25" s="2182"/>
      <c r="K25" s="2166"/>
      <c r="L25" s="2166"/>
      <c r="M25" s="2166"/>
      <c r="N25" s="2169"/>
      <c r="O25" s="2166"/>
      <c r="P25" s="2005"/>
      <c r="Q25" s="2009"/>
      <c r="R25" s="2009"/>
      <c r="S25" s="338"/>
      <c r="T25" s="338"/>
      <c r="U25" s="338"/>
      <c r="V25" s="338"/>
      <c r="W25" s="2010"/>
      <c r="X25" s="1275"/>
      <c r="Y25" s="1275"/>
      <c r="Z25" s="1275"/>
      <c r="AA25" s="1275"/>
      <c r="AB25" s="1275"/>
      <c r="AC25" s="1275"/>
      <c r="AD25" s="1275"/>
      <c r="AE25" s="1275"/>
      <c r="AF25" s="1275"/>
      <c r="AG25" s="1275"/>
      <c r="AH25" s="1275"/>
      <c r="AI25" s="1275"/>
      <c r="AJ25" s="1275"/>
      <c r="AK25" s="1275"/>
      <c r="AL25" s="1275"/>
      <c r="AM25" s="1275"/>
      <c r="AN25" s="1275"/>
      <c r="AO25" s="1275"/>
      <c r="AP25" s="1275"/>
      <c r="AQ25" s="1275"/>
      <c r="AR25" s="1476">
        <v>0</v>
      </c>
    </row>
    <row s="1859" customFormat="1" customHeight="1" ht="17.25">
      <c r="A26" s="330"/>
      <c r="C26" s="329"/>
      <c r="D26" s="2164"/>
      <c r="E26" s="2172"/>
      <c r="F26" s="2174"/>
      <c r="G26" s="2172"/>
      <c r="H26" s="2177"/>
      <c r="I26" s="2179"/>
      <c r="J26" s="2182"/>
      <c r="K26" s="2166"/>
      <c r="L26" s="2009"/>
      <c r="M26" s="2009"/>
      <c r="N26" s="2009"/>
      <c r="O26" s="2009"/>
      <c r="P26" s="2009"/>
      <c r="Q26" s="2009"/>
      <c r="R26" s="2009"/>
      <c r="S26" s="338"/>
      <c r="T26" s="338"/>
      <c r="U26" s="338"/>
      <c r="V26" s="338"/>
      <c r="W26" s="2010"/>
      <c r="X26" s="1275"/>
      <c r="Y26" s="1275"/>
      <c r="Z26" s="1275"/>
      <c r="AA26" s="1275"/>
      <c r="AB26" s="1275"/>
      <c r="AC26" s="1275"/>
      <c r="AD26" s="1275"/>
      <c r="AE26" s="1275"/>
      <c r="AF26" s="1275"/>
      <c r="AG26" s="1275"/>
      <c r="AH26" s="1275"/>
      <c r="AI26" s="1275"/>
      <c r="AJ26" s="1275"/>
      <c r="AK26" s="1275"/>
      <c r="AL26" s="1275"/>
      <c r="AM26" s="1275"/>
      <c r="AN26" s="1275"/>
      <c r="AO26" s="1275"/>
      <c r="AP26" s="1275"/>
      <c r="AQ26" s="1275"/>
      <c r="AR26" s="1476">
        <v>0</v>
      </c>
    </row>
    <row s="1859" customFormat="1" customHeight="1" ht="17.25">
      <c r="A27" s="330"/>
      <c r="C27" s="329"/>
      <c r="D27" s="2164"/>
      <c r="E27" s="2172"/>
      <c r="F27" s="2175"/>
      <c r="G27" s="2172"/>
      <c r="H27" s="1308"/>
      <c r="I27" s="2007"/>
      <c r="J27" s="2007"/>
      <c r="K27" s="2007"/>
      <c r="L27" s="2007"/>
      <c r="M27" s="2007"/>
      <c r="N27" s="2007"/>
      <c r="O27" s="2007"/>
      <c r="P27" s="2007"/>
      <c r="Q27" s="2007"/>
      <c r="R27" s="2007"/>
      <c r="S27" s="1310"/>
      <c r="T27" s="1310"/>
      <c r="U27" s="1310"/>
      <c r="V27" s="1310"/>
      <c r="W27" s="2008"/>
      <c r="X27" s="1275"/>
      <c r="Y27" s="1275"/>
      <c r="Z27" s="1275"/>
      <c r="AA27" s="1275"/>
      <c r="AB27" s="1275"/>
      <c r="AC27" s="1275"/>
      <c r="AD27" s="1275"/>
      <c r="AE27" s="1275"/>
      <c r="AF27" s="1275"/>
      <c r="AG27" s="1275"/>
      <c r="AH27" s="1275"/>
      <c r="AI27" s="1275"/>
      <c r="AJ27" s="1275"/>
      <c r="AK27" s="1275"/>
      <c r="AL27" s="1275"/>
      <c r="AM27" s="1275"/>
      <c r="AN27" s="1275"/>
      <c r="AO27" s="1275"/>
      <c r="AP27" s="1275"/>
      <c r="AQ27" s="1275"/>
      <c r="AR27" s="1476">
        <v>0</v>
      </c>
    </row>
    <row s="1859" customFormat="1" customHeight="1" ht="17.25">
      <c r="A28" s="330"/>
      <c r="C28" s="218"/>
      <c r="D28" s="2163">
        <v>3</v>
      </c>
      <c r="E28" s="2171" t="s">
        <v>183</v>
      </c>
      <c r="F28" s="2173" t="s">
        <v>19</v>
      </c>
      <c r="G28" s="2171"/>
      <c r="H28" s="2176"/>
      <c r="I28" s="2178"/>
      <c r="J28" s="2180"/>
      <c r="K28" s="2165"/>
      <c r="L28" s="2165"/>
      <c r="M28" s="2165"/>
      <c r="N28" s="2167"/>
      <c r="O28" s="2165"/>
      <c r="P28" s="2165"/>
      <c r="Q28" s="2165"/>
      <c r="R28" s="2170"/>
      <c r="S28" s="2165"/>
      <c r="T28" s="1429"/>
      <c r="U28" s="1429"/>
      <c r="V28" s="1428"/>
      <c r="W28" s="1305"/>
      <c r="X28" s="1276"/>
      <c r="Y28" s="1276"/>
      <c r="Z28" s="1276"/>
      <c r="AA28" s="1276"/>
      <c r="AB28" s="1276"/>
      <c r="AC28" s="1276" t="s">
        <v>184</v>
      </c>
      <c r="AD28" s="1276" t="s">
        <v>185</v>
      </c>
      <c r="AE28" s="1276" t="s">
        <v>186</v>
      </c>
      <c r="AF28" s="1276" t="s">
        <v>187</v>
      </c>
      <c r="AG28" s="1276" t="s">
        <v>188</v>
      </c>
      <c r="AH28" s="1276" t="str">
        <f>IF($E$28=0,"",$E$28)</f>
        <v>Тарифы на теплоноситель, поставляемый теплоснабжающими организациями потребителям, другим теплоснабжающим организациям</v>
      </c>
      <c r="AI28" s="1276" t="str">
        <f>IF($G$28=0,"",$G$28)</f>
        <v/>
      </c>
      <c r="AJ28" s="1276" t="str">
        <f>IF($J$28=0,"",$J$28)</f>
        <v/>
      </c>
      <c r="AK28" s="1276" t="str">
        <f>IF($K$28="нет","без дифференциации",IF($N$28=0,"",$N$28))</f>
        <v/>
      </c>
      <c r="AL28" s="1276" t="str">
        <f>IF($O$28="нет","без дифференциации",IF($R$28=0,"",$R$28))</f>
        <v/>
      </c>
      <c r="AM28" s="1276" t="str">
        <f>IF($S$28="нет","без дифференциации",IF($V$28=0,"",$V$28))</f>
        <v/>
      </c>
      <c r="AN28" s="1780">
        <f>$I$28</f>
        <v>0</v>
      </c>
      <c r="AO28" s="1276" t="str">
        <f>$I$28&amp;"."&amp;$M$28</f>
        <v>.</v>
      </c>
      <c r="AP28" s="1268" t="str">
        <f>$I$28&amp;"."&amp;$M$28&amp;"."&amp;$Q$28</f>
        <v>..</v>
      </c>
      <c r="AQ28" s="1268" t="str">
        <f>$I$28&amp;"."&amp;$M$28&amp;"."&amp;$Q$28&amp;"."&amp;$U$28</f>
        <v>...</v>
      </c>
      <c r="AR28" s="1292">
        <v>0</v>
      </c>
    </row>
    <row s="1859" customFormat="1" customHeight="1" ht="17.25">
      <c r="A29" s="330"/>
      <c r="C29" s="329"/>
      <c r="D29" s="2163"/>
      <c r="E29" s="2171"/>
      <c r="F29" s="2174"/>
      <c r="G29" s="2171"/>
      <c r="H29" s="2177"/>
      <c r="I29" s="2179"/>
      <c r="J29" s="2181"/>
      <c r="K29" s="2166"/>
      <c r="L29" s="2166"/>
      <c r="M29" s="2166"/>
      <c r="N29" s="2168"/>
      <c r="O29" s="2166"/>
      <c r="P29" s="2166"/>
      <c r="Q29" s="2166"/>
      <c r="R29" s="2169"/>
      <c r="S29" s="2166"/>
      <c r="T29" s="1306"/>
      <c r="U29" s="1306"/>
      <c r="V29" s="1306"/>
      <c r="W29" s="1307"/>
      <c r="X29" s="1268"/>
      <c r="Y29" s="1268"/>
      <c r="Z29" s="1268"/>
      <c r="AA29" s="1268"/>
      <c r="AB29" s="1268"/>
      <c r="AC29" s="1268"/>
      <c r="AD29" s="1268"/>
      <c r="AE29" s="1268"/>
      <c r="AF29" s="1268"/>
      <c r="AG29" s="1268"/>
      <c r="AH29" s="1268"/>
      <c r="AI29" s="1268"/>
      <c r="AJ29" s="1268"/>
      <c r="AK29" s="1268"/>
      <c r="AL29" s="1268"/>
      <c r="AM29" s="1268"/>
      <c r="AN29" s="1268"/>
      <c r="AO29" s="1268"/>
      <c r="AP29" s="1268"/>
      <c r="AQ29" s="1268"/>
      <c r="AR29" s="1292">
        <v>0</v>
      </c>
    </row>
    <row s="1859" customFormat="1" customHeight="1" ht="17.25">
      <c r="A30" s="330"/>
      <c r="C30" s="329"/>
      <c r="D30" s="2164"/>
      <c r="E30" s="2172"/>
      <c r="F30" s="2174"/>
      <c r="G30" s="2172"/>
      <c r="H30" s="2177"/>
      <c r="I30" s="2179"/>
      <c r="J30" s="2182"/>
      <c r="K30" s="2166"/>
      <c r="L30" s="2166"/>
      <c r="M30" s="2166"/>
      <c r="N30" s="2169"/>
      <c r="O30" s="2166"/>
      <c r="P30" s="1427"/>
      <c r="Q30" s="1306"/>
      <c r="R30" s="1306"/>
      <c r="S30" s="338"/>
      <c r="T30" s="338"/>
      <c r="U30" s="338"/>
      <c r="V30" s="338"/>
      <c r="W30" s="1307"/>
      <c r="X30" s="1268"/>
      <c r="Y30" s="1268"/>
      <c r="Z30" s="1268"/>
      <c r="AA30" s="1268"/>
      <c r="AB30" s="1268"/>
      <c r="AC30" s="1268"/>
      <c r="AD30" s="1268"/>
      <c r="AE30" s="1268"/>
      <c r="AF30" s="1268"/>
      <c r="AG30" s="1268"/>
      <c r="AH30" s="1268"/>
      <c r="AI30" s="1268"/>
      <c r="AJ30" s="1268"/>
      <c r="AK30" s="1268"/>
      <c r="AL30" s="1268"/>
      <c r="AM30" s="1268"/>
      <c r="AN30" s="1268"/>
      <c r="AO30" s="1268"/>
      <c r="AP30" s="1268"/>
      <c r="AQ30" s="1268"/>
      <c r="AR30" s="1292">
        <v>0</v>
      </c>
    </row>
    <row s="1859" customFormat="1" customHeight="1" ht="17.25">
      <c r="A31" s="330"/>
      <c r="C31" s="329"/>
      <c r="D31" s="2164"/>
      <c r="E31" s="2172"/>
      <c r="F31" s="2174"/>
      <c r="G31" s="2172"/>
      <c r="H31" s="2177"/>
      <c r="I31" s="2179"/>
      <c r="J31" s="2182"/>
      <c r="K31" s="2166"/>
      <c r="L31" s="1306"/>
      <c r="M31" s="1306"/>
      <c r="N31" s="1306"/>
      <c r="O31" s="1306"/>
      <c r="P31" s="1306"/>
      <c r="Q31" s="1306"/>
      <c r="R31" s="1306"/>
      <c r="S31" s="338"/>
      <c r="T31" s="338"/>
      <c r="U31" s="338"/>
      <c r="V31" s="338"/>
      <c r="W31" s="1307"/>
      <c r="X31" s="1268"/>
      <c r="Y31" s="1268"/>
      <c r="Z31" s="1268"/>
      <c r="AA31" s="1268"/>
      <c r="AB31" s="1268"/>
      <c r="AC31" s="1268"/>
      <c r="AD31" s="1268"/>
      <c r="AE31" s="1268"/>
      <c r="AF31" s="1268"/>
      <c r="AG31" s="1268"/>
      <c r="AH31" s="1268"/>
      <c r="AI31" s="1268"/>
      <c r="AJ31" s="1268"/>
      <c r="AK31" s="1268"/>
      <c r="AL31" s="1268"/>
      <c r="AM31" s="1268"/>
      <c r="AN31" s="1268"/>
      <c r="AO31" s="1268"/>
      <c r="AP31" s="1268"/>
      <c r="AQ31" s="1268"/>
      <c r="AR31" s="1292">
        <v>0</v>
      </c>
    </row>
    <row s="1859" customFormat="1" customHeight="1" ht="17.25">
      <c r="A32" s="330"/>
      <c r="C32" s="329"/>
      <c r="D32" s="2164"/>
      <c r="E32" s="2172"/>
      <c r="F32" s="2175"/>
      <c r="G32" s="2172"/>
      <c r="H32" s="1308"/>
      <c r="I32" s="1309"/>
      <c r="J32" s="1309"/>
      <c r="K32" s="1309"/>
      <c r="L32" s="1309"/>
      <c r="M32" s="1309"/>
      <c r="N32" s="1309"/>
      <c r="O32" s="1309"/>
      <c r="P32" s="1309"/>
      <c r="Q32" s="1309"/>
      <c r="R32" s="1309"/>
      <c r="S32" s="1310"/>
      <c r="T32" s="1310"/>
      <c r="U32" s="1310"/>
      <c r="V32" s="1310"/>
      <c r="W32" s="1311"/>
      <c r="X32" s="1268"/>
      <c r="Y32" s="1268"/>
      <c r="Z32" s="1268"/>
      <c r="AA32" s="1268"/>
      <c r="AB32" s="1268"/>
      <c r="AC32" s="1268"/>
      <c r="AD32" s="1268"/>
      <c r="AE32" s="1268"/>
      <c r="AF32" s="1268"/>
      <c r="AG32" s="1268"/>
      <c r="AH32" s="1268"/>
      <c r="AI32" s="1268"/>
      <c r="AJ32" s="1268"/>
      <c r="AK32" s="1268"/>
      <c r="AL32" s="1268"/>
      <c r="AM32" s="1268"/>
      <c r="AN32" s="1268"/>
      <c r="AO32" s="1268"/>
      <c r="AP32" s="1268"/>
      <c r="AQ32" s="1268"/>
      <c r="AR32" s="1292">
        <v>0</v>
      </c>
    </row>
    <row s="1859" customFormat="1" customHeight="1" ht="17.25">
      <c r="A33" s="330"/>
      <c r="C33" s="218"/>
      <c r="D33" s="2163">
        <v>4</v>
      </c>
      <c r="E33" s="2171" t="s">
        <v>189</v>
      </c>
      <c r="F33" s="2173" t="s">
        <v>19</v>
      </c>
      <c r="G33" s="2171"/>
      <c r="H33" s="2176"/>
      <c r="I33" s="2178"/>
      <c r="J33" s="2180"/>
      <c r="K33" s="2165"/>
      <c r="L33" s="2165"/>
      <c r="M33" s="2165"/>
      <c r="N33" s="2167"/>
      <c r="O33" s="2165"/>
      <c r="P33" s="2165"/>
      <c r="Q33" s="2165"/>
      <c r="R33" s="2170"/>
      <c r="S33" s="2165"/>
      <c r="T33" s="1429"/>
      <c r="U33" s="1429"/>
      <c r="V33" s="1428"/>
      <c r="W33" s="1305"/>
      <c r="X33" s="1276"/>
      <c r="Y33" s="1276"/>
      <c r="Z33" s="1276"/>
      <c r="AA33" s="1276"/>
      <c r="AB33" s="1276"/>
      <c r="AC33" s="1276" t="s">
        <v>190</v>
      </c>
      <c r="AD33" s="1276" t="s">
        <v>191</v>
      </c>
      <c r="AE33" s="1276" t="s">
        <v>192</v>
      </c>
      <c r="AF33" s="1276" t="s">
        <v>193</v>
      </c>
      <c r="AG33" s="1276" t="s">
        <v>194</v>
      </c>
      <c r="AH33" s="127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6" t="str">
        <f>IF($G$33=0,"",$G$33)</f>
        <v/>
      </c>
      <c r="AJ33" s="1276" t="str">
        <f>IF($J$33=0,"",$J$33)</f>
        <v/>
      </c>
      <c r="AK33" s="1276" t="str">
        <f>IF($K$33="нет","без дифференциации",IF($N$33=0,"",$N$33))</f>
        <v/>
      </c>
      <c r="AL33" s="1276" t="str">
        <f>IF($O$33="нет","без дифференциации",IF($R$33=0,"",$R$33))</f>
        <v/>
      </c>
      <c r="AM33" s="1276" t="str">
        <f>IF($S$33="нет","без дифференциации",IF($V$33=0,"",$V$33))</f>
        <v/>
      </c>
      <c r="AN33" s="1780">
        <f>$I$33</f>
        <v>0</v>
      </c>
      <c r="AO33" s="1276" t="str">
        <f>$I$33&amp;"."&amp;$M$33</f>
        <v>.</v>
      </c>
      <c r="AP33" s="1268" t="str">
        <f>$I$33&amp;"."&amp;$M$33&amp;"."&amp;$Q$33</f>
        <v>..</v>
      </c>
      <c r="AQ33" s="1268" t="str">
        <f>$I$33&amp;"."&amp;$M$33&amp;"."&amp;$Q$33&amp;"."&amp;$U$33</f>
        <v>...</v>
      </c>
      <c r="AR33" s="1292">
        <v>0</v>
      </c>
    </row>
    <row s="1859" customFormat="1" customHeight="1" ht="17.25">
      <c r="A34" s="330"/>
      <c r="C34" s="329"/>
      <c r="D34" s="2163"/>
      <c r="E34" s="2171"/>
      <c r="F34" s="2174"/>
      <c r="G34" s="2171"/>
      <c r="H34" s="2177"/>
      <c r="I34" s="2179"/>
      <c r="J34" s="2181"/>
      <c r="K34" s="2166"/>
      <c r="L34" s="2166"/>
      <c r="M34" s="2166"/>
      <c r="N34" s="2168"/>
      <c r="O34" s="2166"/>
      <c r="P34" s="2166"/>
      <c r="Q34" s="2166"/>
      <c r="R34" s="2169"/>
      <c r="S34" s="2166"/>
      <c r="T34" s="1306"/>
      <c r="U34" s="1306"/>
      <c r="V34" s="1306"/>
      <c r="W34" s="1307"/>
      <c r="X34" s="1268"/>
      <c r="Y34" s="1268"/>
      <c r="Z34" s="1268"/>
      <c r="AA34" s="1268"/>
      <c r="AB34" s="1268"/>
      <c r="AC34" s="1268"/>
      <c r="AD34" s="1268"/>
      <c r="AE34" s="1268"/>
      <c r="AF34" s="1268"/>
      <c r="AG34" s="1268"/>
      <c r="AH34" s="1268"/>
      <c r="AI34" s="1268"/>
      <c r="AJ34" s="1268"/>
      <c r="AK34" s="1268"/>
      <c r="AL34" s="1268"/>
      <c r="AM34" s="1268"/>
      <c r="AN34" s="1268"/>
      <c r="AO34" s="1268"/>
      <c r="AP34" s="1268"/>
      <c r="AQ34" s="1268"/>
      <c r="AR34" s="1292">
        <v>0</v>
      </c>
    </row>
    <row s="1859" customFormat="1" customHeight="1" ht="17.25">
      <c r="A35" s="330"/>
      <c r="C35" s="329"/>
      <c r="D35" s="2164"/>
      <c r="E35" s="2172"/>
      <c r="F35" s="2174"/>
      <c r="G35" s="2172"/>
      <c r="H35" s="2177"/>
      <c r="I35" s="2179"/>
      <c r="J35" s="2182"/>
      <c r="K35" s="2166"/>
      <c r="L35" s="2166"/>
      <c r="M35" s="2166"/>
      <c r="N35" s="2169"/>
      <c r="O35" s="2166"/>
      <c r="P35" s="1427"/>
      <c r="Q35" s="1306"/>
      <c r="R35" s="1306"/>
      <c r="S35" s="338"/>
      <c r="T35" s="338"/>
      <c r="U35" s="338"/>
      <c r="V35" s="338"/>
      <c r="W35" s="1307"/>
      <c r="X35" s="1268"/>
      <c r="Y35" s="1268"/>
      <c r="Z35" s="1268"/>
      <c r="AA35" s="1268"/>
      <c r="AB35" s="1268"/>
      <c r="AC35" s="1268"/>
      <c r="AD35" s="1268"/>
      <c r="AE35" s="1268"/>
      <c r="AF35" s="1268"/>
      <c r="AG35" s="1268"/>
      <c r="AH35" s="1268"/>
      <c r="AI35" s="1268"/>
      <c r="AJ35" s="1268"/>
      <c r="AK35" s="1268"/>
      <c r="AL35" s="1268"/>
      <c r="AM35" s="1268"/>
      <c r="AN35" s="1268"/>
      <c r="AO35" s="1268"/>
      <c r="AP35" s="1268"/>
      <c r="AQ35" s="1268"/>
      <c r="AR35" s="1292">
        <v>0</v>
      </c>
    </row>
    <row s="1859" customFormat="1" customHeight="1" ht="17.25">
      <c r="A36" s="330"/>
      <c r="C36" s="329"/>
      <c r="D36" s="2164"/>
      <c r="E36" s="2172"/>
      <c r="F36" s="2174"/>
      <c r="G36" s="2172"/>
      <c r="H36" s="2177"/>
      <c r="I36" s="2179"/>
      <c r="J36" s="2182"/>
      <c r="K36" s="2166"/>
      <c r="L36" s="1306"/>
      <c r="M36" s="1306"/>
      <c r="N36" s="1306"/>
      <c r="O36" s="1306"/>
      <c r="P36" s="1306"/>
      <c r="Q36" s="1306"/>
      <c r="R36" s="1306"/>
      <c r="S36" s="338"/>
      <c r="T36" s="338"/>
      <c r="U36" s="338"/>
      <c r="V36" s="338"/>
      <c r="W36" s="1307"/>
      <c r="X36" s="1268"/>
      <c r="Y36" s="1268"/>
      <c r="Z36" s="1268"/>
      <c r="AA36" s="1268"/>
      <c r="AB36" s="1268"/>
      <c r="AC36" s="1268"/>
      <c r="AD36" s="1268"/>
      <c r="AE36" s="1268"/>
      <c r="AF36" s="1268"/>
      <c r="AG36" s="1268"/>
      <c r="AH36" s="1268"/>
      <c r="AI36" s="1268"/>
      <c r="AJ36" s="1268"/>
      <c r="AK36" s="1268"/>
      <c r="AL36" s="1268"/>
      <c r="AM36" s="1268"/>
      <c r="AN36" s="1268"/>
      <c r="AO36" s="1268"/>
      <c r="AP36" s="1268"/>
      <c r="AQ36" s="1268"/>
      <c r="AR36" s="1292">
        <v>0</v>
      </c>
    </row>
    <row s="1859" customFormat="1" customHeight="1" ht="17.25">
      <c r="A37" s="330"/>
      <c r="C37" s="329"/>
      <c r="D37" s="2164"/>
      <c r="E37" s="2172"/>
      <c r="F37" s="2175"/>
      <c r="G37" s="2172"/>
      <c r="H37" s="1308"/>
      <c r="I37" s="1309"/>
      <c r="J37" s="1309"/>
      <c r="K37" s="1309"/>
      <c r="L37" s="1309"/>
      <c r="M37" s="1309"/>
      <c r="N37" s="1309"/>
      <c r="O37" s="1309"/>
      <c r="P37" s="1309"/>
      <c r="Q37" s="1309"/>
      <c r="R37" s="1309"/>
      <c r="S37" s="1310"/>
      <c r="T37" s="1310"/>
      <c r="U37" s="1310"/>
      <c r="V37" s="1310"/>
      <c r="W37" s="1311"/>
      <c r="X37" s="1268"/>
      <c r="Y37" s="1268"/>
      <c r="Z37" s="1268"/>
      <c r="AA37" s="1268"/>
      <c r="AB37" s="1268"/>
      <c r="AC37" s="1268"/>
      <c r="AD37" s="1268"/>
      <c r="AE37" s="1268"/>
      <c r="AF37" s="1268"/>
      <c r="AG37" s="1268"/>
      <c r="AH37" s="1268"/>
      <c r="AI37" s="1268"/>
      <c r="AJ37" s="1268"/>
      <c r="AK37" s="1268"/>
      <c r="AL37" s="1268"/>
      <c r="AM37" s="1268"/>
      <c r="AN37" s="1268"/>
      <c r="AO37" s="1268"/>
      <c r="AP37" s="1268"/>
      <c r="AQ37" s="1268"/>
      <c r="AR37" s="1292">
        <v>0</v>
      </c>
    </row>
    <row s="1859" customFormat="1" customHeight="1" ht="17.25">
      <c r="A38" s="330"/>
      <c r="C38" s="218"/>
      <c r="D38" s="2163">
        <v>5</v>
      </c>
      <c r="E38" s="2171" t="s">
        <v>195</v>
      </c>
      <c r="F38" s="2173" t="s">
        <v>19</v>
      </c>
      <c r="G38" s="2171"/>
      <c r="H38" s="2176"/>
      <c r="I38" s="2178"/>
      <c r="J38" s="2180"/>
      <c r="K38" s="2165"/>
      <c r="L38" s="2165"/>
      <c r="M38" s="2165"/>
      <c r="N38" s="2167"/>
      <c r="O38" s="2165"/>
      <c r="P38" s="2165"/>
      <c r="Q38" s="2165"/>
      <c r="R38" s="2170"/>
      <c r="S38" s="2165"/>
      <c r="T38" s="1429"/>
      <c r="U38" s="1429"/>
      <c r="V38" s="1428"/>
      <c r="W38" s="1305"/>
      <c r="X38" s="1276"/>
      <c r="Y38" s="1276"/>
      <c r="Z38" s="1276"/>
      <c r="AA38" s="1276"/>
      <c r="AB38" s="1276"/>
      <c r="AC38" s="1276" t="s">
        <v>196</v>
      </c>
      <c r="AD38" s="1276" t="s">
        <v>197</v>
      </c>
      <c r="AE38" s="1276" t="s">
        <v>198</v>
      </c>
      <c r="AF38" s="1276" t="s">
        <v>199</v>
      </c>
      <c r="AG38" s="1276" t="s">
        <v>200</v>
      </c>
      <c r="AH38" s="1276" t="str">
        <f>IF($E$38=0,"",$E$38)</f>
        <v>Тарифы на услуги по передаче тепловой энергии</v>
      </c>
      <c r="AI38" s="1276" t="str">
        <f>IF($G$38=0,"",$G$38)</f>
        <v/>
      </c>
      <c r="AJ38" s="1276" t="str">
        <f>IF($J$38=0,"",$J$38)</f>
        <v/>
      </c>
      <c r="AK38" s="1276" t="str">
        <f>IF($K$38="нет","без дифференциации",IF($N$38=0,"",$N$38))</f>
        <v/>
      </c>
      <c r="AL38" s="1276" t="str">
        <f>IF($O$38="нет","без дифференциации",IF($R$38=0,"",$R$38))</f>
        <v/>
      </c>
      <c r="AM38" s="1276" t="str">
        <f>IF($S$38="нет","без дифференциации",IF($V$38=0,"",$V$38))</f>
        <v/>
      </c>
      <c r="AN38" s="1780">
        <f>$I$38</f>
        <v>0</v>
      </c>
      <c r="AO38" s="1276" t="str">
        <f>$I$38&amp;"."&amp;$M$38</f>
        <v>.</v>
      </c>
      <c r="AP38" s="1268" t="str">
        <f>$I$38&amp;"."&amp;$M$38&amp;"."&amp;$Q$38</f>
        <v>..</v>
      </c>
      <c r="AQ38" s="1268" t="str">
        <f>$I$38&amp;"."&amp;$M$38&amp;"."&amp;$Q$38&amp;"."&amp;$U$38</f>
        <v>...</v>
      </c>
      <c r="AR38" s="1292">
        <v>0</v>
      </c>
    </row>
    <row s="1859" customFormat="1" customHeight="1" ht="17.25">
      <c r="A39" s="330"/>
      <c r="C39" s="329"/>
      <c r="D39" s="2163"/>
      <c r="E39" s="2171"/>
      <c r="F39" s="2174"/>
      <c r="G39" s="2171"/>
      <c r="H39" s="2177"/>
      <c r="I39" s="2179"/>
      <c r="J39" s="2181"/>
      <c r="K39" s="2166"/>
      <c r="L39" s="2166"/>
      <c r="M39" s="2166"/>
      <c r="N39" s="2168"/>
      <c r="O39" s="2166"/>
      <c r="P39" s="2166"/>
      <c r="Q39" s="2166"/>
      <c r="R39" s="2169"/>
      <c r="S39" s="2166"/>
      <c r="T39" s="1306"/>
      <c r="U39" s="1306"/>
      <c r="V39" s="1306"/>
      <c r="W39" s="1307"/>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92">
        <v>0</v>
      </c>
    </row>
    <row s="1859" customFormat="1" customHeight="1" ht="17.25">
      <c r="A40" s="330"/>
      <c r="C40" s="329"/>
      <c r="D40" s="2164"/>
      <c r="E40" s="2172"/>
      <c r="F40" s="2174"/>
      <c r="G40" s="2172"/>
      <c r="H40" s="2177"/>
      <c r="I40" s="2179"/>
      <c r="J40" s="2182"/>
      <c r="K40" s="2166"/>
      <c r="L40" s="2166"/>
      <c r="M40" s="2166"/>
      <c r="N40" s="2169"/>
      <c r="O40" s="2166"/>
      <c r="P40" s="1427"/>
      <c r="Q40" s="1306"/>
      <c r="R40" s="1306"/>
      <c r="S40" s="338"/>
      <c r="T40" s="338"/>
      <c r="U40" s="338"/>
      <c r="V40" s="338"/>
      <c r="W40" s="1307"/>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92">
        <v>0</v>
      </c>
    </row>
    <row s="1859" customFormat="1" customHeight="1" ht="17.25">
      <c r="A41" s="330"/>
      <c r="C41" s="329"/>
      <c r="D41" s="2164"/>
      <c r="E41" s="2172"/>
      <c r="F41" s="2174"/>
      <c r="G41" s="2172"/>
      <c r="H41" s="2177"/>
      <c r="I41" s="2179"/>
      <c r="J41" s="2182"/>
      <c r="K41" s="2166"/>
      <c r="L41" s="1306"/>
      <c r="M41" s="1306"/>
      <c r="N41" s="1306"/>
      <c r="O41" s="1306"/>
      <c r="P41" s="1306"/>
      <c r="Q41" s="1306"/>
      <c r="R41" s="1306"/>
      <c r="S41" s="338"/>
      <c r="T41" s="338"/>
      <c r="U41" s="338"/>
      <c r="V41" s="338"/>
      <c r="W41" s="1307"/>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92">
        <v>0</v>
      </c>
    </row>
    <row s="1859" customFormat="1" customHeight="1" ht="17.25">
      <c r="A42" s="330"/>
      <c r="C42" s="329"/>
      <c r="D42" s="2164"/>
      <c r="E42" s="2172"/>
      <c r="F42" s="2175"/>
      <c r="G42" s="2172"/>
      <c r="H42" s="1308"/>
      <c r="I42" s="1309"/>
      <c r="J42" s="1309"/>
      <c r="K42" s="1309"/>
      <c r="L42" s="1309"/>
      <c r="M42" s="1309"/>
      <c r="N42" s="1309"/>
      <c r="O42" s="1309"/>
      <c r="P42" s="1309"/>
      <c r="Q42" s="1309"/>
      <c r="R42" s="1309"/>
      <c r="S42" s="1310"/>
      <c r="T42" s="1310"/>
      <c r="U42" s="1310"/>
      <c r="V42" s="1310"/>
      <c r="W42" s="1311"/>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92">
        <v>0</v>
      </c>
    </row>
    <row s="1859" customFormat="1" customHeight="1" ht="17.25">
      <c r="A43" s="330"/>
      <c r="C43" s="218"/>
      <c r="D43" s="2163">
        <v>6</v>
      </c>
      <c r="E43" s="2171" t="s">
        <v>201</v>
      </c>
      <c r="F43" s="2173" t="s">
        <v>19</v>
      </c>
      <c r="G43" s="2171"/>
      <c r="H43" s="2176"/>
      <c r="I43" s="2178"/>
      <c r="J43" s="2180"/>
      <c r="K43" s="2165"/>
      <c r="L43" s="2165"/>
      <c r="M43" s="2165"/>
      <c r="N43" s="2167"/>
      <c r="O43" s="2165"/>
      <c r="P43" s="2165"/>
      <c r="Q43" s="2165"/>
      <c r="R43" s="2170"/>
      <c r="S43" s="2165"/>
      <c r="T43" s="1429"/>
      <c r="U43" s="1429"/>
      <c r="V43" s="1428"/>
      <c r="W43" s="1305"/>
      <c r="X43" s="1276"/>
      <c r="Y43" s="1276"/>
      <c r="Z43" s="1276"/>
      <c r="AA43" s="1276"/>
      <c r="AB43" s="1276"/>
      <c r="AC43" s="1276" t="s">
        <v>202</v>
      </c>
      <c r="AD43" s="1276" t="s">
        <v>203</v>
      </c>
      <c r="AE43" s="1276" t="s">
        <v>204</v>
      </c>
      <c r="AF43" s="1276" t="s">
        <v>205</v>
      </c>
      <c r="AG43" s="1276" t="s">
        <v>206</v>
      </c>
      <c r="AH43" s="1276" t="str">
        <f>IF($E$43=0,"",$E$43)</f>
        <v>Тарифы на услуги по передаче теплоносителя</v>
      </c>
      <c r="AI43" s="1276" t="str">
        <f>IF($G$43=0,"",$G$43)</f>
        <v/>
      </c>
      <c r="AJ43" s="1276" t="str">
        <f>IF($J$43=0,"",$J$43)</f>
        <v/>
      </c>
      <c r="AK43" s="1276" t="str">
        <f>IF($K$43="нет","без дифференциации",IF($N$43=0,"",$N$43))</f>
        <v/>
      </c>
      <c r="AL43" s="1276" t="str">
        <f>IF($O$43="нет","без дифференциации",IF($R$43=0,"",$R$43))</f>
        <v/>
      </c>
      <c r="AM43" s="1276" t="str">
        <f>IF($S$43="нет","без дифференциации",IF($V$43=0,"",$V$43))</f>
        <v/>
      </c>
      <c r="AN43" s="1780">
        <f>$I$43</f>
        <v>0</v>
      </c>
      <c r="AO43" s="1276" t="str">
        <f>$I$43&amp;"."&amp;$M$43</f>
        <v>.</v>
      </c>
      <c r="AP43" s="1268" t="str">
        <f>$I$43&amp;"."&amp;$M$43&amp;"."&amp;$Q$43</f>
        <v>..</v>
      </c>
      <c r="AQ43" s="1268" t="str">
        <f>$I$43&amp;"."&amp;$M$43&amp;"."&amp;$Q$43&amp;"."&amp;$U$43</f>
        <v>...</v>
      </c>
      <c r="AR43" s="1292">
        <v>0</v>
      </c>
    </row>
    <row s="1859" customFormat="1" customHeight="1" ht="17.25">
      <c r="A44" s="330"/>
      <c r="C44" s="329"/>
      <c r="D44" s="2163"/>
      <c r="E44" s="2171"/>
      <c r="F44" s="2174"/>
      <c r="G44" s="2171"/>
      <c r="H44" s="2177"/>
      <c r="I44" s="2179"/>
      <c r="J44" s="2181"/>
      <c r="K44" s="2166"/>
      <c r="L44" s="2166"/>
      <c r="M44" s="2166"/>
      <c r="N44" s="2168"/>
      <c r="O44" s="2166"/>
      <c r="P44" s="2166"/>
      <c r="Q44" s="2166"/>
      <c r="R44" s="2169"/>
      <c r="S44" s="2166"/>
      <c r="T44" s="1306"/>
      <c r="U44" s="1306"/>
      <c r="V44" s="1306"/>
      <c r="W44" s="1307"/>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92">
        <v>0</v>
      </c>
    </row>
    <row s="1859" customFormat="1" customHeight="1" ht="17.25">
      <c r="A45" s="330"/>
      <c r="C45" s="329"/>
      <c r="D45" s="2164"/>
      <c r="E45" s="2172"/>
      <c r="F45" s="2174"/>
      <c r="G45" s="2172"/>
      <c r="H45" s="2177"/>
      <c r="I45" s="2179"/>
      <c r="J45" s="2182"/>
      <c r="K45" s="2166"/>
      <c r="L45" s="2166"/>
      <c r="M45" s="2166"/>
      <c r="N45" s="2169"/>
      <c r="O45" s="2166"/>
      <c r="P45" s="1427"/>
      <c r="Q45" s="1306"/>
      <c r="R45" s="1306"/>
      <c r="S45" s="338"/>
      <c r="T45" s="338"/>
      <c r="U45" s="338"/>
      <c r="V45" s="338"/>
      <c r="W45" s="1307"/>
      <c r="X45" s="1268"/>
      <c r="Y45" s="1268"/>
      <c r="Z45" s="1268"/>
      <c r="AA45" s="1268"/>
      <c r="AB45" s="1268"/>
      <c r="AC45" s="1268"/>
      <c r="AD45" s="1268"/>
      <c r="AE45" s="1268"/>
      <c r="AF45" s="1268"/>
      <c r="AG45" s="1268"/>
      <c r="AH45" s="1268"/>
      <c r="AI45" s="1268"/>
      <c r="AJ45" s="1268"/>
      <c r="AK45" s="1268"/>
      <c r="AL45" s="1268"/>
      <c r="AM45" s="1268"/>
      <c r="AN45" s="1268"/>
      <c r="AO45" s="1268"/>
      <c r="AP45" s="1268"/>
      <c r="AQ45" s="1268"/>
      <c r="AR45" s="1292">
        <v>0</v>
      </c>
    </row>
    <row s="1859" customFormat="1" customHeight="1" ht="17.25">
      <c r="A46" s="330"/>
      <c r="C46" s="218"/>
      <c r="D46" s="2164"/>
      <c r="E46" s="2172"/>
      <c r="F46" s="2174"/>
      <c r="G46" s="2172"/>
      <c r="H46" s="2177"/>
      <c r="I46" s="2179"/>
      <c r="J46" s="2182"/>
      <c r="K46" s="2166"/>
      <c r="L46" s="1306"/>
      <c r="M46" s="1306"/>
      <c r="N46" s="1306"/>
      <c r="O46" s="1306"/>
      <c r="P46" s="1306"/>
      <c r="Q46" s="1306"/>
      <c r="R46" s="1306"/>
      <c r="S46" s="338"/>
      <c r="T46" s="338"/>
      <c r="U46" s="338"/>
      <c r="V46" s="338"/>
      <c r="W46" s="1307"/>
      <c r="Y46" s="1276"/>
      <c r="Z46" s="1276"/>
      <c r="AA46" s="1276"/>
      <c r="AB46" s="1276"/>
      <c r="AC46" s="1276"/>
      <c r="AD46" s="1276"/>
      <c r="AE46" s="1276"/>
      <c r="AF46" s="1276"/>
      <c r="AG46" s="1276"/>
      <c r="AH46" s="1276"/>
      <c r="AI46" s="1276"/>
      <c r="AJ46" s="1276"/>
      <c r="AK46" s="1276"/>
      <c r="AL46" s="1276"/>
      <c r="AM46" s="1276"/>
      <c r="AN46" s="1276"/>
      <c r="AO46" s="1276"/>
      <c r="AP46" s="1276"/>
      <c r="AQ46" s="1276"/>
      <c r="AR46" s="1335">
        <v>0</v>
      </c>
    </row>
    <row s="1859" customFormat="1" customHeight="1" ht="17.25">
      <c r="A47" s="330"/>
      <c r="C47" s="329"/>
      <c r="D47" s="2164"/>
      <c r="E47" s="2172"/>
      <c r="F47" s="2175"/>
      <c r="G47" s="2172"/>
      <c r="H47" s="1308"/>
      <c r="I47" s="1309"/>
      <c r="J47" s="1309"/>
      <c r="K47" s="1309"/>
      <c r="L47" s="1309"/>
      <c r="M47" s="1309"/>
      <c r="N47" s="1309"/>
      <c r="O47" s="1309"/>
      <c r="P47" s="1309"/>
      <c r="Q47" s="1309"/>
      <c r="R47" s="1309"/>
      <c r="S47" s="1310"/>
      <c r="T47" s="1310"/>
      <c r="U47" s="1310"/>
      <c r="V47" s="1310"/>
      <c r="W47" s="1311"/>
      <c r="X47" s="1268"/>
      <c r="Y47" s="1268"/>
      <c r="Z47" s="1268"/>
      <c r="AA47" s="1268"/>
      <c r="AB47" s="1268"/>
      <c r="AC47" s="1268"/>
      <c r="AD47" s="1268"/>
      <c r="AE47" s="1268"/>
      <c r="AF47" s="1268"/>
      <c r="AG47" s="1268"/>
      <c r="AH47" s="1268"/>
      <c r="AI47" s="1268"/>
      <c r="AJ47" s="1268"/>
      <c r="AK47" s="1268"/>
      <c r="AL47" s="1268"/>
      <c r="AM47" s="1268"/>
      <c r="AN47" s="1268"/>
      <c r="AO47" s="1268"/>
      <c r="AP47" s="1268"/>
      <c r="AQ47" s="1268"/>
      <c r="AR47" s="1292">
        <v>0</v>
      </c>
    </row>
    <row s="1859" customFormat="1" customHeight="1" ht="17.25">
      <c r="A48" s="330"/>
      <c r="C48" s="218"/>
      <c r="D48" s="2194">
        <v>7</v>
      </c>
      <c r="E48" s="2197" t="s">
        <v>207</v>
      </c>
      <c r="F48" s="2173" t="s">
        <v>19</v>
      </c>
      <c r="G48" s="2197"/>
      <c r="H48" s="2176"/>
      <c r="I48" s="2178"/>
      <c r="J48" s="2180"/>
      <c r="K48" s="2165"/>
      <c r="L48" s="2165"/>
      <c r="M48" s="2165"/>
      <c r="N48" s="2167"/>
      <c r="O48" s="2165"/>
      <c r="P48" s="2165"/>
      <c r="Q48" s="2165"/>
      <c r="R48" s="2170"/>
      <c r="S48" s="2165"/>
      <c r="T48" s="1429"/>
      <c r="U48" s="1429"/>
      <c r="V48" s="1428"/>
      <c r="W48" s="1305"/>
      <c r="X48" s="1276"/>
      <c r="Y48" s="1276"/>
      <c r="Z48" s="1276"/>
      <c r="AA48" s="1276"/>
      <c r="AB48" s="1276"/>
      <c r="AC48" s="1276" t="s">
        <v>208</v>
      </c>
      <c r="AD48" s="1276" t="s">
        <v>209</v>
      </c>
      <c r="AE48" s="1276" t="s">
        <v>210</v>
      </c>
      <c r="AF48" s="1276" t="s">
        <v>211</v>
      </c>
      <c r="AG48" s="1276" t="s">
        <v>212</v>
      </c>
      <c r="AH48" s="1276" t="str">
        <f>IF($E$48=0,"",$E$48)</f>
        <v>Плата за услуги по поддержанию резервной тепловой мощности при отсутствии потребления тепловой энергии</v>
      </c>
      <c r="AI48" s="1276" t="str">
        <f>IF($G$48=0,"",$G$48)</f>
        <v/>
      </c>
      <c r="AJ48" s="1276" t="str">
        <f>IF($J$48=0,"",$J$48)</f>
        <v/>
      </c>
      <c r="AK48" s="1276" t="str">
        <f>IF($K$48="нет","без дифференциации",IF($N$48=0,"",$N$48))</f>
        <v/>
      </c>
      <c r="AL48" s="1276" t="str">
        <f>IF($O$48="нет","без дифференциации",IF($R$48=0,"",$R$48))</f>
        <v/>
      </c>
      <c r="AM48" s="1276" t="str">
        <f>IF($S$48="нет","без дифференциации",IF($V$48=0,"",$V$48))</f>
        <v/>
      </c>
      <c r="AN48" s="1780">
        <f>$I$48</f>
        <v>0</v>
      </c>
      <c r="AO48" s="1276" t="str">
        <f>$I$48&amp;"."&amp;$M$48</f>
        <v>.</v>
      </c>
      <c r="AP48" s="1268" t="str">
        <f>$I$48&amp;"."&amp;$M$48&amp;"."&amp;$Q$48</f>
        <v>..</v>
      </c>
      <c r="AQ48" s="1268" t="str">
        <f>$I$48&amp;"."&amp;$M$48&amp;"."&amp;$Q$48&amp;"."&amp;$U$48</f>
        <v>...</v>
      </c>
      <c r="AR48" s="1317">
        <v>0</v>
      </c>
    </row>
    <row s="1859" customFormat="1" customHeight="1" ht="17.25">
      <c r="A49" s="330"/>
      <c r="C49" s="329"/>
      <c r="D49" s="2195"/>
      <c r="E49" s="2198"/>
      <c r="F49" s="2174"/>
      <c r="G49" s="2198"/>
      <c r="H49" s="2177"/>
      <c r="I49" s="2179"/>
      <c r="J49" s="2181"/>
      <c r="K49" s="2166"/>
      <c r="L49" s="2166"/>
      <c r="M49" s="2166"/>
      <c r="N49" s="2168"/>
      <c r="O49" s="2166"/>
      <c r="P49" s="2166"/>
      <c r="Q49" s="2166"/>
      <c r="R49" s="2169"/>
      <c r="S49" s="2166"/>
      <c r="T49" s="1306"/>
      <c r="U49" s="1306"/>
      <c r="V49" s="1306"/>
      <c r="W49" s="1307"/>
      <c r="X49" s="1268"/>
      <c r="Y49" s="1268"/>
      <c r="Z49" s="1268"/>
      <c r="AA49" s="1268"/>
      <c r="AB49" s="1268"/>
      <c r="AC49" s="1268"/>
      <c r="AD49" s="1268"/>
      <c r="AE49" s="1268"/>
      <c r="AF49" s="1268"/>
      <c r="AG49" s="1268"/>
      <c r="AH49" s="1268"/>
      <c r="AI49" s="1268"/>
      <c r="AJ49" s="1268"/>
      <c r="AK49" s="1268"/>
      <c r="AL49" s="1268"/>
      <c r="AM49" s="1268"/>
      <c r="AN49" s="1268"/>
      <c r="AO49" s="1268"/>
      <c r="AP49" s="1268"/>
      <c r="AQ49" s="1268"/>
      <c r="AR49" s="1317">
        <v>0</v>
      </c>
    </row>
    <row s="1859" customFormat="1" customHeight="1" ht="17.25">
      <c r="A50" s="330"/>
      <c r="C50" s="329"/>
      <c r="D50" s="2195"/>
      <c r="E50" s="2198"/>
      <c r="F50" s="2174"/>
      <c r="G50" s="2198"/>
      <c r="H50" s="2177"/>
      <c r="I50" s="2179"/>
      <c r="J50" s="2182"/>
      <c r="K50" s="2166"/>
      <c r="L50" s="2166"/>
      <c r="M50" s="2166"/>
      <c r="N50" s="2169"/>
      <c r="O50" s="2166"/>
      <c r="P50" s="1427"/>
      <c r="Q50" s="1306"/>
      <c r="R50" s="1306"/>
      <c r="S50" s="338"/>
      <c r="T50" s="338"/>
      <c r="U50" s="338"/>
      <c r="V50" s="338"/>
      <c r="W50" s="1307"/>
      <c r="X50" s="1268"/>
      <c r="Y50" s="1268"/>
      <c r="Z50" s="1268"/>
      <c r="AA50" s="1268"/>
      <c r="AB50" s="1268"/>
      <c r="AC50" s="1268"/>
      <c r="AD50" s="1268"/>
      <c r="AE50" s="1268"/>
      <c r="AF50" s="1268"/>
      <c r="AG50" s="1268"/>
      <c r="AH50" s="1268"/>
      <c r="AI50" s="1268"/>
      <c r="AJ50" s="1268"/>
      <c r="AK50" s="1268"/>
      <c r="AL50" s="1268"/>
      <c r="AM50" s="1268"/>
      <c r="AN50" s="1268"/>
      <c r="AO50" s="1268"/>
      <c r="AP50" s="1268"/>
      <c r="AQ50" s="1268"/>
      <c r="AR50" s="1317">
        <v>0</v>
      </c>
    </row>
    <row s="1859" customFormat="1" customHeight="1" ht="17.25">
      <c r="A51" s="330"/>
      <c r="C51" s="218"/>
      <c r="D51" s="2195"/>
      <c r="E51" s="2198"/>
      <c r="F51" s="2174"/>
      <c r="G51" s="2198"/>
      <c r="H51" s="2177"/>
      <c r="I51" s="2179"/>
      <c r="J51" s="2182"/>
      <c r="K51" s="2166"/>
      <c r="L51" s="1306"/>
      <c r="M51" s="1306"/>
      <c r="N51" s="1306"/>
      <c r="O51" s="1306"/>
      <c r="P51" s="1306"/>
      <c r="Q51" s="1306"/>
      <c r="R51" s="1306"/>
      <c r="S51" s="338"/>
      <c r="T51" s="338"/>
      <c r="U51" s="338"/>
      <c r="V51" s="338"/>
      <c r="W51" s="1307"/>
      <c r="Y51" s="1276"/>
      <c r="Z51" s="1276"/>
      <c r="AA51" s="1276"/>
      <c r="AB51" s="1276"/>
      <c r="AC51" s="1276"/>
      <c r="AD51" s="1276"/>
      <c r="AE51" s="1276"/>
      <c r="AF51" s="1276"/>
      <c r="AG51" s="1276"/>
      <c r="AH51" s="1276"/>
      <c r="AI51" s="1276"/>
      <c r="AJ51" s="1276"/>
      <c r="AK51" s="1276"/>
      <c r="AL51" s="1276"/>
      <c r="AM51" s="1276"/>
      <c r="AN51" s="1276"/>
      <c r="AO51" s="1276"/>
      <c r="AP51" s="1276"/>
      <c r="AQ51" s="1276"/>
      <c r="AR51" s="1335">
        <v>0</v>
      </c>
    </row>
    <row s="1859" customFormat="1" customHeight="1" ht="17.25">
      <c r="A52" s="330"/>
      <c r="C52" s="329"/>
      <c r="D52" s="2196"/>
      <c r="E52" s="2199"/>
      <c r="F52" s="2175"/>
      <c r="G52" s="2199"/>
      <c r="H52" s="1308"/>
      <c r="I52" s="1309"/>
      <c r="J52" s="1309"/>
      <c r="K52" s="1309"/>
      <c r="L52" s="1309"/>
      <c r="M52" s="1309"/>
      <c r="N52" s="1309"/>
      <c r="O52" s="1309"/>
      <c r="P52" s="1309"/>
      <c r="Q52" s="1309"/>
      <c r="R52" s="1309"/>
      <c r="S52" s="1310"/>
      <c r="T52" s="1310"/>
      <c r="U52" s="1310"/>
      <c r="V52" s="1310"/>
      <c r="W52" s="1311"/>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317">
        <v>0</v>
      </c>
    </row>
    <row s="1859" customFormat="1" customHeight="1" ht="17.25">
      <c r="A53" s="330"/>
      <c r="C53" s="218"/>
      <c r="D53" s="2163">
        <v>8</v>
      </c>
      <c r="E53" s="2171" t="s">
        <v>213</v>
      </c>
      <c r="F53" s="2173" t="s">
        <v>19</v>
      </c>
      <c r="G53" s="2171"/>
      <c r="H53" s="2176"/>
      <c r="I53" s="2178"/>
      <c r="J53" s="2180"/>
      <c r="K53" s="2165"/>
      <c r="L53" s="2165"/>
      <c r="M53" s="2165"/>
      <c r="N53" s="2167"/>
      <c r="O53" s="2165"/>
      <c r="P53" s="2165"/>
      <c r="Q53" s="2165"/>
      <c r="R53" s="2170"/>
      <c r="S53" s="2165"/>
      <c r="T53" s="1479"/>
      <c r="U53" s="1479"/>
      <c r="V53" s="1481"/>
      <c r="W53" s="1305"/>
      <c r="X53" s="1276"/>
      <c r="Y53" s="1276"/>
      <c r="Z53" s="1276"/>
      <c r="AA53" s="1276"/>
      <c r="AB53" s="1276"/>
      <c r="AC53" s="1276" t="s">
        <v>214</v>
      </c>
      <c r="AD53" s="1276" t="s">
        <v>215</v>
      </c>
      <c r="AE53" s="1276" t="s">
        <v>216</v>
      </c>
      <c r="AF53" s="1276" t="s">
        <v>217</v>
      </c>
      <c r="AG53" s="1276" t="s">
        <v>218</v>
      </c>
      <c r="AH53" s="1276" t="str">
        <f>IF($E$53=0,"",$E$53)</f>
        <v>Плата за подключение (технологическое присоединение) к системе теплоснабжения</v>
      </c>
      <c r="AI53" s="1276" t="str">
        <f>IF($G$53=0,"",$G$53)</f>
        <v/>
      </c>
      <c r="AJ53" s="1276" t="str">
        <f>IF($J$53=0,"",$J$53)</f>
        <v/>
      </c>
      <c r="AK53" s="1276" t="str">
        <f>IF($K$53="нет","без дифференциации",IF($N$53=0,"",$N$53))</f>
        <v/>
      </c>
      <c r="AL53" s="1276" t="str">
        <f>IF($O$53="нет","без дифференциации",IF($R$53=0,"",$R$53))</f>
        <v/>
      </c>
      <c r="AM53" s="1276" t="str">
        <f>IF($S$53="нет","без дифференциации",IF($V$53=0,"",$V$53))</f>
        <v/>
      </c>
      <c r="AN53" s="1780">
        <f>$I$53</f>
        <v>0</v>
      </c>
      <c r="AO53" s="1276" t="str">
        <f>$I$53&amp;"."&amp;$M$53</f>
        <v>.</v>
      </c>
      <c r="AP53" s="1268" t="str">
        <f>$I$53&amp;"."&amp;$M$53&amp;"."&amp;$Q$53</f>
        <v>..</v>
      </c>
      <c r="AQ53" s="1268" t="str">
        <f>$I$53&amp;"."&amp;$M$53&amp;"."&amp;$Q$53&amp;"."&amp;$U$53</f>
        <v>...</v>
      </c>
      <c r="AR53" s="1317">
        <v>0</v>
      </c>
    </row>
    <row s="1859" customFormat="1" customHeight="1" ht="17.25">
      <c r="A54" s="330"/>
      <c r="C54" s="329"/>
      <c r="D54" s="2163"/>
      <c r="E54" s="2171"/>
      <c r="F54" s="2174"/>
      <c r="G54" s="2171"/>
      <c r="H54" s="2177"/>
      <c r="I54" s="2179"/>
      <c r="J54" s="2181"/>
      <c r="K54" s="2166"/>
      <c r="L54" s="2166"/>
      <c r="M54" s="2166"/>
      <c r="N54" s="2168"/>
      <c r="O54" s="2166"/>
      <c r="P54" s="2166"/>
      <c r="Q54" s="2166"/>
      <c r="R54" s="2169"/>
      <c r="S54" s="2166"/>
      <c r="T54" s="1306"/>
      <c r="U54" s="1306"/>
      <c r="V54" s="1306"/>
      <c r="W54" s="1307"/>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317">
        <v>0</v>
      </c>
    </row>
    <row s="1859" customFormat="1" customHeight="1" ht="17.25">
      <c r="A55" s="330"/>
      <c r="C55" s="329"/>
      <c r="D55" s="2164"/>
      <c r="E55" s="2172"/>
      <c r="F55" s="2174"/>
      <c r="G55" s="2172"/>
      <c r="H55" s="2177"/>
      <c r="I55" s="2179"/>
      <c r="J55" s="2182"/>
      <c r="K55" s="2166"/>
      <c r="L55" s="2166"/>
      <c r="M55" s="2166"/>
      <c r="N55" s="2169"/>
      <c r="O55" s="2166"/>
      <c r="P55" s="1480"/>
      <c r="Q55" s="1306"/>
      <c r="R55" s="1306"/>
      <c r="S55" s="338"/>
      <c r="T55" s="338"/>
      <c r="U55" s="338"/>
      <c r="V55" s="338"/>
      <c r="W55" s="1307"/>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317">
        <v>0</v>
      </c>
    </row>
    <row s="1859" customFormat="1" customHeight="1" ht="17.25">
      <c r="A56" s="330"/>
      <c r="C56" s="218"/>
      <c r="D56" s="2164"/>
      <c r="E56" s="2172"/>
      <c r="F56" s="2174"/>
      <c r="G56" s="2172"/>
      <c r="H56" s="2177"/>
      <c r="I56" s="2179"/>
      <c r="J56" s="2182"/>
      <c r="K56" s="2166"/>
      <c r="L56" s="1306"/>
      <c r="M56" s="1306"/>
      <c r="N56" s="1306"/>
      <c r="O56" s="1306"/>
      <c r="P56" s="1306"/>
      <c r="Q56" s="1306"/>
      <c r="R56" s="1306"/>
      <c r="S56" s="338"/>
      <c r="T56" s="338"/>
      <c r="U56" s="338"/>
      <c r="V56" s="338"/>
      <c r="W56" s="1307"/>
      <c r="Y56" s="1276"/>
      <c r="Z56" s="1276"/>
      <c r="AA56" s="1276"/>
      <c r="AB56" s="1276"/>
      <c r="AC56" s="1276"/>
      <c r="AD56" s="1276"/>
      <c r="AE56" s="1276"/>
      <c r="AF56" s="1276"/>
      <c r="AG56" s="1276"/>
      <c r="AH56" s="1276"/>
      <c r="AI56" s="1276"/>
      <c r="AJ56" s="1276"/>
      <c r="AK56" s="1276"/>
      <c r="AL56" s="1276"/>
      <c r="AM56" s="1276"/>
      <c r="AN56" s="1276"/>
      <c r="AO56" s="1276"/>
      <c r="AP56" s="1276"/>
      <c r="AQ56" s="1276"/>
      <c r="AR56" s="1335">
        <v>0</v>
      </c>
    </row>
    <row s="1859" customFormat="1" customHeight="1" ht="17.25">
      <c r="A57" s="330"/>
      <c r="C57" s="329"/>
      <c r="D57" s="2164"/>
      <c r="E57" s="2172"/>
      <c r="F57" s="2175"/>
      <c r="G57" s="2172"/>
      <c r="H57" s="1308"/>
      <c r="I57" s="1309"/>
      <c r="J57" s="1309"/>
      <c r="K57" s="1309"/>
      <c r="L57" s="1309"/>
      <c r="M57" s="1309"/>
      <c r="N57" s="1309"/>
      <c r="O57" s="1309"/>
      <c r="P57" s="1309"/>
      <c r="Q57" s="1309"/>
      <c r="R57" s="1309"/>
      <c r="S57" s="1310"/>
      <c r="T57" s="1310"/>
      <c r="U57" s="1310"/>
      <c r="V57" s="1310"/>
      <c r="W57" s="1311"/>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317">
        <v>0</v>
      </c>
    </row>
    <row s="1859" customFormat="1" customHeight="1" ht="17.25">
      <c r="A58" s="330"/>
      <c r="C58" s="218"/>
      <c r="D58" s="2163">
        <v>9</v>
      </c>
      <c r="E58" s="2171" t="s">
        <v>219</v>
      </c>
      <c r="F58" s="2173" t="s">
        <v>19</v>
      </c>
      <c r="G58" s="2171"/>
      <c r="H58" s="2176"/>
      <c r="I58" s="2178"/>
      <c r="J58" s="2180"/>
      <c r="K58" s="2165"/>
      <c r="L58" s="2165"/>
      <c r="M58" s="2165"/>
      <c r="N58" s="2167"/>
      <c r="O58" s="2165"/>
      <c r="P58" s="2165"/>
      <c r="Q58" s="2165"/>
      <c r="R58" s="2170"/>
      <c r="S58" s="2165"/>
      <c r="T58" s="1937"/>
      <c r="U58" s="1937"/>
      <c r="V58" s="1939"/>
      <c r="W58" s="1305"/>
      <c r="X58" s="1276"/>
      <c r="Y58" s="1276"/>
      <c r="Z58" s="1276"/>
      <c r="AA58" s="1276"/>
      <c r="AB58" s="1276"/>
      <c r="AC58" s="1276" t="s">
        <v>220</v>
      </c>
      <c r="AD58" s="1276" t="s">
        <v>221</v>
      </c>
      <c r="AE58" s="1276" t="s">
        <v>222</v>
      </c>
      <c r="AF58" s="1276" t="s">
        <v>223</v>
      </c>
      <c r="AG58" s="1276" t="s">
        <v>224</v>
      </c>
      <c r="AH58" s="1276" t="str">
        <f>IF($E$58=0,"",$E$58)</f>
        <v>Плата за подключение (технологическое присоединение) к системе теплоснабжения (индивидуальная)</v>
      </c>
      <c r="AI58" s="1276" t="str">
        <f>IF($G$58=0,"",$G$58)</f>
        <v/>
      </c>
      <c r="AJ58" s="1276" t="str">
        <f>IF($J$58=0,"",$J$58)</f>
        <v/>
      </c>
      <c r="AK58" s="1276" t="str">
        <f>IF($K$58="нет","без дифференциации",IF($N$58=0,"",$N$58))</f>
        <v/>
      </c>
      <c r="AL58" s="1276" t="str">
        <f>IF($O$58="нет","без дифференциации",IF($R$58=0,"",$R$58))</f>
        <v/>
      </c>
      <c r="AM58" s="1276" t="str">
        <f>IF($S$58="нет","без дифференциации",IF($V$58=0,"",$V$58))</f>
        <v/>
      </c>
      <c r="AN58" s="1780">
        <f>$I$58</f>
        <v>0</v>
      </c>
      <c r="AO58" s="1276" t="str">
        <f>$I$58&amp;"."&amp;$M$58</f>
        <v>.</v>
      </c>
      <c r="AP58" s="1275" t="str">
        <f>$I$58&amp;"."&amp;$M$58&amp;"."&amp;$Q$58</f>
        <v>..</v>
      </c>
      <c r="AQ58" s="1275" t="str">
        <f>$I$58&amp;"."&amp;$M$58&amp;"."&amp;$Q$58&amp;"."&amp;$U$58</f>
        <v>...</v>
      </c>
      <c r="AR58" s="1476">
        <v>0</v>
      </c>
    </row>
    <row s="1859" customFormat="1" customHeight="1" ht="17.25">
      <c r="A59" s="330"/>
      <c r="C59" s="329"/>
      <c r="D59" s="2163"/>
      <c r="E59" s="2171"/>
      <c r="F59" s="2174"/>
      <c r="G59" s="2171"/>
      <c r="H59" s="2177"/>
      <c r="I59" s="2179"/>
      <c r="J59" s="2181"/>
      <c r="K59" s="2166"/>
      <c r="L59" s="2166"/>
      <c r="M59" s="2166"/>
      <c r="N59" s="2168"/>
      <c r="O59" s="2166"/>
      <c r="P59" s="2166"/>
      <c r="Q59" s="2166"/>
      <c r="R59" s="2169"/>
      <c r="S59" s="2166"/>
      <c r="T59" s="1940"/>
      <c r="U59" s="1940"/>
      <c r="V59" s="1940"/>
      <c r="W59" s="1941"/>
      <c r="X59" s="1275"/>
      <c r="Y59" s="1275"/>
      <c r="Z59" s="1275"/>
      <c r="AA59" s="1275"/>
      <c r="AB59" s="1275"/>
      <c r="AC59" s="1275"/>
      <c r="AD59" s="1275"/>
      <c r="AE59" s="1275"/>
      <c r="AF59" s="1275"/>
      <c r="AG59" s="1275"/>
      <c r="AH59" s="1275"/>
      <c r="AI59" s="1275"/>
      <c r="AJ59" s="1275"/>
      <c r="AK59" s="1275"/>
      <c r="AL59" s="1275"/>
      <c r="AM59" s="1275"/>
      <c r="AN59" s="1275"/>
      <c r="AO59" s="1275"/>
      <c r="AP59" s="1275"/>
      <c r="AQ59" s="1275"/>
      <c r="AR59" s="1476">
        <v>0</v>
      </c>
    </row>
    <row s="1859" customFormat="1" customHeight="1" ht="17.25">
      <c r="A60" s="330"/>
      <c r="C60" s="329"/>
      <c r="D60" s="2164"/>
      <c r="E60" s="2172"/>
      <c r="F60" s="2174"/>
      <c r="G60" s="2172"/>
      <c r="H60" s="2177"/>
      <c r="I60" s="2179"/>
      <c r="J60" s="2182"/>
      <c r="K60" s="2166"/>
      <c r="L60" s="2166"/>
      <c r="M60" s="2166"/>
      <c r="N60" s="2169"/>
      <c r="O60" s="2166"/>
      <c r="P60" s="1938"/>
      <c r="Q60" s="1940"/>
      <c r="R60" s="1940"/>
      <c r="S60" s="338"/>
      <c r="T60" s="338"/>
      <c r="U60" s="338"/>
      <c r="V60" s="338"/>
      <c r="W60" s="1941"/>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476">
        <v>0</v>
      </c>
    </row>
    <row s="1859" customFormat="1" customHeight="1" ht="17.25">
      <c r="A61" s="330"/>
      <c r="C61" s="218"/>
      <c r="D61" s="2164"/>
      <c r="E61" s="2172"/>
      <c r="F61" s="2174"/>
      <c r="G61" s="2172"/>
      <c r="H61" s="2177"/>
      <c r="I61" s="2179"/>
      <c r="J61" s="2182"/>
      <c r="K61" s="2166"/>
      <c r="L61" s="1940"/>
      <c r="M61" s="1940"/>
      <c r="N61" s="1940"/>
      <c r="O61" s="1940"/>
      <c r="P61" s="1940"/>
      <c r="Q61" s="1940"/>
      <c r="R61" s="1940"/>
      <c r="S61" s="338"/>
      <c r="T61" s="338"/>
      <c r="U61" s="338"/>
      <c r="V61" s="338"/>
      <c r="W61" s="1941"/>
      <c r="Y61" s="1276"/>
      <c r="Z61" s="1276"/>
      <c r="AA61" s="1276"/>
      <c r="AB61" s="1276"/>
      <c r="AC61" s="1276"/>
      <c r="AD61" s="1276"/>
      <c r="AE61" s="1276"/>
      <c r="AF61" s="1276"/>
      <c r="AG61" s="1276"/>
      <c r="AH61" s="1276"/>
      <c r="AI61" s="1276"/>
      <c r="AJ61" s="1276"/>
      <c r="AK61" s="1276"/>
      <c r="AL61" s="1276"/>
      <c r="AM61" s="1276"/>
      <c r="AN61" s="1276"/>
      <c r="AO61" s="1276"/>
      <c r="AP61" s="1276"/>
      <c r="AQ61" s="1276"/>
      <c r="AR61" s="1476">
        <v>0</v>
      </c>
    </row>
    <row s="1859" customFormat="1" customHeight="1" ht="17.25">
      <c r="A62" s="330"/>
      <c r="C62" s="329"/>
      <c r="D62" s="2164"/>
      <c r="E62" s="2172"/>
      <c r="F62" s="2175"/>
      <c r="G62" s="2172"/>
      <c r="H62" s="1308"/>
      <c r="I62" s="1942"/>
      <c r="J62" s="1942"/>
      <c r="K62" s="1942"/>
      <c r="L62" s="1942"/>
      <c r="M62" s="1942"/>
      <c r="N62" s="1942"/>
      <c r="O62" s="1942"/>
      <c r="P62" s="1942"/>
      <c r="Q62" s="1942"/>
      <c r="R62" s="1942"/>
      <c r="S62" s="1310"/>
      <c r="T62" s="1310"/>
      <c r="U62" s="1310"/>
      <c r="V62" s="1310"/>
      <c r="W62" s="1943"/>
      <c r="X62" s="1275"/>
      <c r="Y62" s="1275"/>
      <c r="Z62" s="1275"/>
      <c r="AA62" s="1275"/>
      <c r="AB62" s="1275"/>
      <c r="AC62" s="1275"/>
      <c r="AD62" s="1275"/>
      <c r="AE62" s="1275"/>
      <c r="AF62" s="1275"/>
      <c r="AG62" s="1275"/>
      <c r="AH62" s="1275"/>
      <c r="AI62" s="1275"/>
      <c r="AJ62" s="1275"/>
      <c r="AK62" s="1275"/>
      <c r="AL62" s="1275"/>
      <c r="AM62" s="1275"/>
      <c r="AN62" s="1275"/>
      <c r="AO62" s="1275"/>
      <c r="AP62" s="1275"/>
      <c r="AQ62" s="1275"/>
      <c r="AR62" s="1476">
        <v>0</v>
      </c>
    </row>
    <row s="1859" customFormat="1" customHeight="1" ht="17.25">
      <c r="A63" s="330"/>
      <c r="C63" s="218"/>
      <c r="D63" s="2163">
        <v>10</v>
      </c>
      <c r="E63" s="2171" t="s">
        <v>225</v>
      </c>
      <c r="F63" s="2173" t="s">
        <v>19</v>
      </c>
      <c r="G63" s="2171"/>
      <c r="H63" s="2176"/>
      <c r="I63" s="2178"/>
      <c r="J63" s="2180"/>
      <c r="K63" s="2165"/>
      <c r="L63" s="2165"/>
      <c r="M63" s="2165"/>
      <c r="N63" s="2167"/>
      <c r="O63" s="2165"/>
      <c r="P63" s="2165"/>
      <c r="Q63" s="2165"/>
      <c r="R63" s="2170"/>
      <c r="S63" s="2165"/>
      <c r="T63" s="1937"/>
      <c r="U63" s="1937"/>
      <c r="V63" s="1939"/>
      <c r="W63" s="1305"/>
      <c r="X63" s="1276"/>
      <c r="Y63" s="1276"/>
      <c r="Z63" s="1276"/>
      <c r="AA63" s="1276"/>
      <c r="AB63" s="1276"/>
      <c r="AC63" s="1276" t="s">
        <v>226</v>
      </c>
      <c r="AD63" s="1276" t="s">
        <v>227</v>
      </c>
      <c r="AE63" s="1276" t="s">
        <v>228</v>
      </c>
      <c r="AF63" s="1276" t="s">
        <v>229</v>
      </c>
      <c r="AG63" s="1276" t="s">
        <v>230</v>
      </c>
      <c r="AH63" s="1276" t="str">
        <f>IF($E$63=0,"",$E$63)</f>
        <v>Предельный уровень цены на тепловую энергию (мощность), поставляемую теплоснабжающими организациями потребителям</v>
      </c>
      <c r="AI63" s="1276" t="str">
        <f>IF($G$63=0,"",$G$63)</f>
        <v/>
      </c>
      <c r="AJ63" s="1276" t="str">
        <f>IF($J$63=0,"",$J$63)</f>
        <v/>
      </c>
      <c r="AK63" s="1276" t="str">
        <f>IF($K$63="нет","без дифференциации",IF($N$63=0,"",$N$63))</f>
        <v/>
      </c>
      <c r="AL63" s="1276" t="str">
        <f>IF($O$63="нет","без дифференциации",IF($R$63=0,"",$R$63))</f>
        <v/>
      </c>
      <c r="AM63" s="1276" t="str">
        <f>IF($S$63="нет","без дифференциации",IF($V$63=0,"",$V$63))</f>
        <v/>
      </c>
      <c r="AN63" s="1780">
        <f>$I$63</f>
        <v>0</v>
      </c>
      <c r="AO63" s="1276" t="str">
        <f>$I$63&amp;"."&amp;$M$63</f>
        <v>.</v>
      </c>
      <c r="AP63" s="1275" t="str">
        <f>$I$63&amp;"."&amp;$M$63&amp;"."&amp;$Q$63</f>
        <v>..</v>
      </c>
      <c r="AQ63" s="1275" t="str">
        <f>$I$63&amp;"."&amp;$M$63&amp;"."&amp;$Q$63&amp;"."&amp;$U$63</f>
        <v>...</v>
      </c>
      <c r="AR63" s="1476">
        <v>0</v>
      </c>
    </row>
    <row s="1859" customFormat="1" customHeight="1" ht="17.25">
      <c r="A64" s="330"/>
      <c r="C64" s="329"/>
      <c r="D64" s="2163"/>
      <c r="E64" s="2171"/>
      <c r="F64" s="2174"/>
      <c r="G64" s="2171"/>
      <c r="H64" s="2177"/>
      <c r="I64" s="2179"/>
      <c r="J64" s="2181"/>
      <c r="K64" s="2166"/>
      <c r="L64" s="2166"/>
      <c r="M64" s="2166"/>
      <c r="N64" s="2168"/>
      <c r="O64" s="2166"/>
      <c r="P64" s="2166"/>
      <c r="Q64" s="2166"/>
      <c r="R64" s="2169"/>
      <c r="S64" s="2166"/>
      <c r="T64" s="1940"/>
      <c r="U64" s="1940"/>
      <c r="V64" s="1940"/>
      <c r="W64" s="1941"/>
      <c r="X64" s="1275"/>
      <c r="Y64" s="1275"/>
      <c r="Z64" s="1275"/>
      <c r="AA64" s="1275"/>
      <c r="AB64" s="1275"/>
      <c r="AC64" s="1275"/>
      <c r="AD64" s="1275"/>
      <c r="AE64" s="1275"/>
      <c r="AF64" s="1275"/>
      <c r="AG64" s="1275"/>
      <c r="AH64" s="1275"/>
      <c r="AI64" s="1275"/>
      <c r="AJ64" s="1275"/>
      <c r="AK64" s="1275"/>
      <c r="AL64" s="1275"/>
      <c r="AM64" s="1275"/>
      <c r="AN64" s="1275"/>
      <c r="AO64" s="1275"/>
      <c r="AP64" s="1275"/>
      <c r="AQ64" s="1275"/>
      <c r="AR64" s="1476">
        <v>0</v>
      </c>
    </row>
    <row s="1859" customFormat="1" customHeight="1" ht="17.25">
      <c r="A65" s="330"/>
      <c r="C65" s="329"/>
      <c r="D65" s="2164"/>
      <c r="E65" s="2172"/>
      <c r="F65" s="2174"/>
      <c r="G65" s="2172"/>
      <c r="H65" s="2177"/>
      <c r="I65" s="2179"/>
      <c r="J65" s="2182"/>
      <c r="K65" s="2166"/>
      <c r="L65" s="2166"/>
      <c r="M65" s="2166"/>
      <c r="N65" s="2169"/>
      <c r="O65" s="2166"/>
      <c r="P65" s="1938"/>
      <c r="Q65" s="1940"/>
      <c r="R65" s="1940"/>
      <c r="S65" s="338"/>
      <c r="T65" s="338"/>
      <c r="U65" s="338"/>
      <c r="V65" s="338"/>
      <c r="W65" s="1941"/>
      <c r="X65" s="1275"/>
      <c r="Y65" s="1275"/>
      <c r="Z65" s="1275"/>
      <c r="AA65" s="1275"/>
      <c r="AB65" s="1275"/>
      <c r="AC65" s="1275"/>
      <c r="AD65" s="1275"/>
      <c r="AE65" s="1275"/>
      <c r="AF65" s="1275"/>
      <c r="AG65" s="1275"/>
      <c r="AH65" s="1275"/>
      <c r="AI65" s="1275"/>
      <c r="AJ65" s="1275"/>
      <c r="AK65" s="1275"/>
      <c r="AL65" s="1275"/>
      <c r="AM65" s="1275"/>
      <c r="AN65" s="1275"/>
      <c r="AO65" s="1275"/>
      <c r="AP65" s="1275"/>
      <c r="AQ65" s="1275"/>
      <c r="AR65" s="1476">
        <v>0</v>
      </c>
    </row>
    <row s="1859" customFormat="1" customHeight="1" ht="17.25">
      <c r="A66" s="330"/>
      <c r="C66" s="218"/>
      <c r="D66" s="2164"/>
      <c r="E66" s="2172"/>
      <c r="F66" s="2174"/>
      <c r="G66" s="2172"/>
      <c r="H66" s="2177"/>
      <c r="I66" s="2179"/>
      <c r="J66" s="2182"/>
      <c r="K66" s="2166"/>
      <c r="L66" s="1940"/>
      <c r="M66" s="1940"/>
      <c r="N66" s="1940"/>
      <c r="O66" s="1940"/>
      <c r="P66" s="1940"/>
      <c r="Q66" s="1940"/>
      <c r="R66" s="1940"/>
      <c r="S66" s="338"/>
      <c r="T66" s="338"/>
      <c r="U66" s="338"/>
      <c r="V66" s="338"/>
      <c r="W66" s="1941"/>
      <c r="Y66" s="1276"/>
      <c r="Z66" s="1276"/>
      <c r="AA66" s="1276"/>
      <c r="AB66" s="1276"/>
      <c r="AC66" s="1276"/>
      <c r="AD66" s="1276"/>
      <c r="AE66" s="1276"/>
      <c r="AF66" s="1276"/>
      <c r="AG66" s="1276"/>
      <c r="AH66" s="1276"/>
      <c r="AI66" s="1276"/>
      <c r="AJ66" s="1276"/>
      <c r="AK66" s="1276"/>
      <c r="AL66" s="1276"/>
      <c r="AM66" s="1276"/>
      <c r="AN66" s="1276"/>
      <c r="AO66" s="1276"/>
      <c r="AP66" s="1276"/>
      <c r="AQ66" s="1276"/>
      <c r="AR66" s="1476">
        <v>0</v>
      </c>
    </row>
    <row s="1859" customFormat="1" customHeight="1" ht="17.25">
      <c r="A67" s="330"/>
      <c r="C67" s="329"/>
      <c r="D67" s="2164"/>
      <c r="E67" s="2172"/>
      <c r="F67" s="2175"/>
      <c r="G67" s="2172"/>
      <c r="H67" s="1308"/>
      <c r="I67" s="1942"/>
      <c r="J67" s="1942"/>
      <c r="K67" s="1942"/>
      <c r="L67" s="1942"/>
      <c r="M67" s="1942"/>
      <c r="N67" s="1942"/>
      <c r="O67" s="1942"/>
      <c r="P67" s="1942"/>
      <c r="Q67" s="1942"/>
      <c r="R67" s="1942"/>
      <c r="S67" s="1310"/>
      <c r="T67" s="1310"/>
      <c r="U67" s="1310"/>
      <c r="V67" s="1310"/>
      <c r="W67" s="1943"/>
      <c r="X67" s="1275"/>
      <c r="Y67" s="1275"/>
      <c r="Z67" s="1275"/>
      <c r="AA67" s="1275"/>
      <c r="AB67" s="1275"/>
      <c r="AC67" s="1275"/>
      <c r="AD67" s="1275"/>
      <c r="AE67" s="1275"/>
      <c r="AF67" s="1275"/>
      <c r="AG67" s="1275"/>
      <c r="AH67" s="1275"/>
      <c r="AI67" s="1275"/>
      <c r="AJ67" s="1275"/>
      <c r="AK67" s="1275"/>
      <c r="AL67" s="1275"/>
      <c r="AM67" s="1275"/>
      <c r="AN67" s="1275"/>
      <c r="AO67" s="1275"/>
      <c r="AP67" s="1275"/>
      <c r="AQ67" s="1275"/>
      <c r="AR67" s="1476">
        <v>0</v>
      </c>
    </row>
    <row customHeight="1" ht="11.25">
      <c r="AR68" s="113">
        <v>0</v>
      </c>
    </row>
    <row customHeight="1" ht="11.25">
      <c r="E69" s="2202" t="s">
        <v>231</v>
      </c>
      <c r="F69" s="2202"/>
      <c r="G69" s="2202"/>
      <c r="H69" s="2202"/>
      <c r="I69" s="2202"/>
      <c r="J69" s="2202"/>
      <c r="K69" s="2202"/>
      <c r="L69" s="2202"/>
      <c r="M69" s="2202"/>
      <c r="N69" s="2202"/>
      <c r="O69" s="2202"/>
      <c r="P69" s="2202"/>
      <c r="Q69" s="2202"/>
      <c r="R69" s="2202"/>
      <c r="S69" s="2202"/>
      <c r="T69" s="2202"/>
      <c r="U69" s="2202"/>
      <c r="V69" s="2202"/>
      <c r="W69" s="2202"/>
      <c r="AR69" s="113">
        <v>0</v>
      </c>
    </row>
    <row customHeight="1" ht="36.75">
      <c r="E70" s="2200" t="s">
        <v>232</v>
      </c>
      <c r="F70" s="2200"/>
      <c r="G70" s="2201"/>
      <c r="H70" s="2201"/>
      <c r="I70" s="2201"/>
      <c r="J70" s="2201"/>
      <c r="K70" s="2201"/>
      <c r="L70" s="2201"/>
      <c r="M70" s="2201"/>
      <c r="N70" s="2201"/>
      <c r="O70" s="2201"/>
      <c r="P70" s="2201"/>
      <c r="Q70" s="2201"/>
      <c r="R70" s="2201"/>
      <c r="S70" s="2201"/>
      <c r="T70" s="2201"/>
      <c r="U70" s="2201"/>
      <c r="V70" s="2201"/>
      <c r="W70" s="2201"/>
      <c r="AR70" s="113">
        <v>0</v>
      </c>
    </row>
    <row customHeight="1" ht="28.5">
      <c r="E71" s="2200" t="s">
        <v>233</v>
      </c>
      <c r="F71" s="2200"/>
      <c r="G71" s="2201"/>
      <c r="H71" s="2201"/>
      <c r="I71" s="2201"/>
      <c r="J71" s="2201"/>
      <c r="K71" s="2201"/>
      <c r="L71" s="2201"/>
      <c r="M71" s="2201"/>
      <c r="N71" s="2201"/>
      <c r="O71" s="2201"/>
      <c r="P71" s="2201"/>
      <c r="Q71" s="2201"/>
      <c r="R71" s="2201"/>
      <c r="S71" s="2201"/>
      <c r="T71" s="2201"/>
      <c r="U71" s="2201"/>
      <c r="V71" s="2201"/>
      <c r="W71" s="2201"/>
      <c r="AR71" s="113">
        <v>0</v>
      </c>
    </row>
    <row customHeight="1" ht="27">
      <c r="E72" s="2200" t="s">
        <v>234</v>
      </c>
      <c r="F72" s="2200"/>
      <c r="G72" s="2201"/>
      <c r="H72" s="2201"/>
      <c r="I72" s="2201"/>
      <c r="J72" s="2201"/>
      <c r="K72" s="2201"/>
      <c r="L72" s="2201"/>
      <c r="M72" s="2201"/>
      <c r="N72" s="2201"/>
      <c r="O72" s="2201"/>
      <c r="P72" s="2201"/>
      <c r="Q72" s="2201"/>
      <c r="R72" s="2201"/>
      <c r="S72" s="2201"/>
      <c r="T72" s="2201"/>
      <c r="U72" s="2201"/>
      <c r="V72" s="2201"/>
      <c r="W72" s="2201"/>
      <c r="AR72" s="113">
        <v>0</v>
      </c>
    </row>
    <row customHeight="1" ht="17.25">
      <c r="E73" s="2200" t="s">
        <v>235</v>
      </c>
      <c r="F73" s="2200"/>
      <c r="G73" s="2201"/>
      <c r="H73" s="2201"/>
      <c r="I73" s="2201"/>
      <c r="J73" s="2201"/>
      <c r="K73" s="2201"/>
      <c r="L73" s="2201"/>
      <c r="M73" s="2201"/>
      <c r="N73" s="2201"/>
      <c r="O73" s="2201"/>
      <c r="P73" s="2201"/>
      <c r="Q73" s="2201"/>
      <c r="R73" s="2201"/>
      <c r="S73" s="2201"/>
      <c r="T73" s="2201"/>
      <c r="U73" s="2201"/>
      <c r="V73" s="2201"/>
      <c r="W73" s="2201"/>
      <c r="AR73" s="113">
        <v>0</v>
      </c>
    </row>
    <row customHeight="1" ht="15">
      <c r="E74" s="349"/>
      <c r="F74" s="1294"/>
      <c r="G74" s="166"/>
      <c r="H74" s="166"/>
      <c r="I74" s="166"/>
      <c r="J74" s="166"/>
      <c r="K74" s="166"/>
      <c r="L74" s="166"/>
      <c r="M74" s="166"/>
      <c r="N74" s="166"/>
      <c r="O74" s="166"/>
      <c r="P74" s="166"/>
      <c r="Q74" s="166"/>
      <c r="R74" s="166"/>
      <c r="S74" s="166"/>
      <c r="T74" s="166"/>
      <c r="U74" s="166"/>
      <c r="V74" s="166"/>
      <c r="W74" s="166"/>
      <c r="AR74" s="113">
        <v>0</v>
      </c>
    </row>
    <row customHeight="1" ht="15">
      <c r="E75" s="2202" t="s">
        <v>236</v>
      </c>
      <c r="F75" s="2202"/>
      <c r="G75" s="2202"/>
      <c r="H75" s="2202"/>
      <c r="I75" s="2202"/>
      <c r="J75" s="2202"/>
      <c r="K75" s="2202"/>
      <c r="L75" s="2202"/>
      <c r="M75" s="2202"/>
      <c r="N75" s="2202"/>
      <c r="O75" s="2202"/>
      <c r="P75" s="2202"/>
      <c r="Q75" s="2202"/>
      <c r="R75" s="2202"/>
      <c r="S75" s="2202"/>
      <c r="T75" s="2202"/>
      <c r="U75" s="2202"/>
      <c r="V75" s="2202"/>
      <c r="W75" s="2202"/>
      <c r="AR75" s="113">
        <v>0</v>
      </c>
    </row>
    <row customHeight="1" ht="17.25">
      <c r="E76" s="2200" t="s">
        <v>237</v>
      </c>
      <c r="F76" s="2200"/>
      <c r="G76" s="2201"/>
      <c r="H76" s="2201"/>
      <c r="I76" s="2201"/>
      <c r="J76" s="2201"/>
      <c r="K76" s="2201"/>
      <c r="L76" s="2201"/>
      <c r="M76" s="2201"/>
      <c r="N76" s="2201"/>
      <c r="O76" s="2201"/>
      <c r="P76" s="2201"/>
      <c r="Q76" s="2201"/>
      <c r="R76" s="2201"/>
      <c r="S76" s="2201"/>
      <c r="T76" s="2201"/>
      <c r="U76" s="2201"/>
      <c r="V76" s="2201"/>
      <c r="W76" s="2201"/>
      <c r="AR76" s="113">
        <v>0</v>
      </c>
    </row>
    <row customHeight="1" ht="17.25">
      <c r="E77" s="2200" t="s">
        <v>238</v>
      </c>
      <c r="F77" s="2200"/>
      <c r="G77" s="2201"/>
      <c r="H77" s="2201"/>
      <c r="I77" s="2201"/>
      <c r="J77" s="2201"/>
      <c r="K77" s="2201"/>
      <c r="L77" s="2201"/>
      <c r="M77" s="2201"/>
      <c r="N77" s="2201"/>
      <c r="O77" s="2201"/>
      <c r="P77" s="2201"/>
      <c r="Q77" s="2201"/>
      <c r="R77" s="2201"/>
      <c r="S77" s="2201"/>
      <c r="T77" s="2201"/>
      <c r="U77" s="2201"/>
      <c r="V77" s="2201"/>
      <c r="W77" s="2201"/>
      <c r="AR77" s="113">
        <v>0</v>
      </c>
    </row>
    <row s="1859" customFormat="1" customHeight="1" ht="11.25">
      <c r="A78" s="286"/>
      <c r="B78" s="286"/>
      <c r="Y78" s="1268"/>
      <c r="Z78" s="1268"/>
      <c r="AA78" s="1268"/>
      <c r="AB78" s="1268"/>
      <c r="AC78" s="1268"/>
      <c r="AD78" s="1268"/>
      <c r="AE78" s="1268"/>
      <c r="AF78" s="1268"/>
      <c r="AG78" s="1268"/>
      <c r="AH78" s="1268"/>
      <c r="AI78" s="1268"/>
      <c r="AJ78" s="1268"/>
      <c r="AK78" s="1268"/>
      <c r="AL78" s="1268"/>
      <c r="AM78" s="1268"/>
      <c r="AN78" s="1268"/>
      <c r="AO78" s="1268"/>
      <c r="AP78" s="1268"/>
      <c r="AQ78" s="1268"/>
      <c r="AR78" s="1359">
        <v>0</v>
      </c>
    </row>
    <row s="1859" customFormat="1" customHeight="1" ht="17.25">
      <c r="A79" s="330"/>
      <c r="C79" s="218"/>
      <c r="D79" s="2163">
        <v>1</v>
      </c>
      <c r="E79" s="2171" t="s">
        <v>239</v>
      </c>
      <c r="F79" s="2173" t="s">
        <v>19</v>
      </c>
      <c r="G79" s="2171"/>
      <c r="H79" s="2176"/>
      <c r="I79" s="2178"/>
      <c r="J79" s="2180"/>
      <c r="K79" s="2165"/>
      <c r="L79" s="2165"/>
      <c r="M79" s="2165"/>
      <c r="N79" s="2167"/>
      <c r="O79" s="2165"/>
      <c r="P79" s="2165"/>
      <c r="Q79" s="2165"/>
      <c r="R79" s="2170"/>
      <c r="S79" s="2165"/>
      <c r="T79" s="1479"/>
      <c r="U79" s="1479"/>
      <c r="V79" s="1481"/>
      <c r="W79" s="1305"/>
      <c r="Y79" s="1276"/>
      <c r="Z79" s="1276"/>
      <c r="AA79" s="1276"/>
      <c r="AB79" s="1276"/>
      <c r="AC79" s="1276" t="s">
        <v>240</v>
      </c>
      <c r="AD79" s="1276" t="s">
        <v>241</v>
      </c>
      <c r="AE79" s="1276" t="s">
        <v>242</v>
      </c>
      <c r="AF79" s="1276" t="s">
        <v>243</v>
      </c>
      <c r="AG79" s="1276"/>
      <c r="AH79" s="1276" t="str">
        <f>IF($E$79=0,"",$E$79)</f>
        <v>Тариф на питьевую воду (питьевое водоснабжение)</v>
      </c>
      <c r="AI79" s="1276" t="str">
        <f>IF($G$79=0,"",$G$79)</f>
        <v/>
      </c>
      <c r="AJ79" s="1276" t="str">
        <f>IF($J$79=0,"",$J$79)</f>
        <v/>
      </c>
      <c r="AK79" s="1276" t="str">
        <f>IF($K$79="нет","без дифференциации",IF($N$79=0,"",$N$79))</f>
        <v/>
      </c>
      <c r="AL79" s="1276" t="str">
        <f>IF($O$79="нет","без дифференциации",IF($R$79=0,"",$R$79))</f>
        <v/>
      </c>
      <c r="AM79" s="1276" t="str">
        <f>IF($S$79="нет","без дифференциации",IF($V$79=0,"",$V$79))</f>
        <v/>
      </c>
      <c r="AN79" s="1276">
        <f>$I$79</f>
        <v>0</v>
      </c>
      <c r="AO79" s="1276" t="str">
        <f>$I$79&amp;"."&amp;$M$79</f>
        <v>.</v>
      </c>
      <c r="AP79" s="1276" t="str">
        <f>$I$79&amp;"."&amp;$M$79&amp;"."&amp;$Q$79</f>
        <v>..</v>
      </c>
      <c r="AQ79" s="1276" t="str">
        <f>$I$79&amp;"."&amp;$M$79&amp;"."&amp;$Q$79&amp;"."&amp;$U$79</f>
        <v>...</v>
      </c>
      <c r="AR79" s="1359">
        <v>0</v>
      </c>
    </row>
    <row s="1859" customFormat="1" customHeight="1" ht="17.25">
      <c r="A80" s="330"/>
      <c r="C80" s="329"/>
      <c r="D80" s="2163"/>
      <c r="E80" s="2171"/>
      <c r="F80" s="2174"/>
      <c r="G80" s="2171"/>
      <c r="H80" s="2177"/>
      <c r="I80" s="2179"/>
      <c r="J80" s="2181"/>
      <c r="K80" s="2166"/>
      <c r="L80" s="2166"/>
      <c r="M80" s="2166"/>
      <c r="N80" s="2168"/>
      <c r="O80" s="2166"/>
      <c r="P80" s="2166"/>
      <c r="Q80" s="2166"/>
      <c r="R80" s="2169"/>
      <c r="S80" s="2166"/>
      <c r="T80" s="1306"/>
      <c r="U80" s="1306"/>
      <c r="V80" s="1306"/>
      <c r="W80" s="1307"/>
      <c r="Y80" s="1268"/>
      <c r="Z80" s="1268"/>
      <c r="AA80" s="1268"/>
      <c r="AB80" s="1268"/>
      <c r="AC80" s="1268"/>
      <c r="AD80" s="1268"/>
      <c r="AE80" s="1268"/>
      <c r="AF80" s="1268"/>
      <c r="AG80" s="1268"/>
      <c r="AH80" s="1268"/>
      <c r="AI80" s="1268"/>
      <c r="AJ80" s="1268"/>
      <c r="AK80" s="1268"/>
      <c r="AL80" s="1268"/>
      <c r="AM80" s="1268"/>
      <c r="AN80" s="1268"/>
      <c r="AO80" s="1268"/>
      <c r="AP80" s="1268"/>
      <c r="AQ80" s="1268"/>
      <c r="AR80" s="1359">
        <v>0</v>
      </c>
    </row>
    <row s="1859" customFormat="1" customHeight="1" ht="17.25">
      <c r="A81" s="330"/>
      <c r="C81" s="218"/>
      <c r="D81" s="2163"/>
      <c r="E81" s="2171"/>
      <c r="F81" s="2174"/>
      <c r="G81" s="2171"/>
      <c r="H81" s="2177"/>
      <c r="I81" s="2179"/>
      <c r="J81" s="2182"/>
      <c r="K81" s="2166"/>
      <c r="L81" s="2166"/>
      <c r="M81" s="2166"/>
      <c r="N81" s="2169"/>
      <c r="O81" s="2166"/>
      <c r="P81" s="1480"/>
      <c r="Q81" s="1306"/>
      <c r="R81" s="1306"/>
      <c r="S81" s="338"/>
      <c r="T81" s="338"/>
      <c r="U81" s="338"/>
      <c r="V81" s="338"/>
      <c r="W81" s="1307"/>
      <c r="Y81" s="1276"/>
      <c r="Z81" s="1276"/>
      <c r="AA81" s="1276"/>
      <c r="AB81" s="1276"/>
      <c r="AC81" s="1276"/>
      <c r="AD81" s="1276"/>
      <c r="AE81" s="1276"/>
      <c r="AF81" s="1276"/>
      <c r="AG81" s="1276"/>
      <c r="AH81" s="1276"/>
      <c r="AI81" s="1276"/>
      <c r="AJ81" s="1276"/>
      <c r="AK81" s="1276"/>
      <c r="AL81" s="1276"/>
      <c r="AM81" s="1276"/>
      <c r="AN81" s="1276"/>
      <c r="AO81" s="1276"/>
      <c r="AP81" s="1276"/>
      <c r="AQ81" s="1276"/>
      <c r="AR81" s="1450">
        <v>0</v>
      </c>
    </row>
    <row s="1859" customFormat="1" customHeight="1" ht="17.25">
      <c r="A82" s="330"/>
      <c r="C82" s="329"/>
      <c r="D82" s="2163"/>
      <c r="E82" s="2171"/>
      <c r="F82" s="2174"/>
      <c r="G82" s="2171"/>
      <c r="H82" s="2177"/>
      <c r="I82" s="2179"/>
      <c r="J82" s="2182"/>
      <c r="K82" s="2166"/>
      <c r="L82" s="1306"/>
      <c r="M82" s="1306"/>
      <c r="N82" s="1306"/>
      <c r="O82" s="1306"/>
      <c r="P82" s="1306"/>
      <c r="Q82" s="1306"/>
      <c r="R82" s="1306"/>
      <c r="S82" s="338"/>
      <c r="T82" s="338"/>
      <c r="U82" s="338"/>
      <c r="V82" s="338"/>
      <c r="W82" s="1307"/>
      <c r="Y82" s="1268"/>
      <c r="Z82" s="1268"/>
      <c r="AA82" s="1268"/>
      <c r="AB82" s="1268"/>
      <c r="AC82" s="1268"/>
      <c r="AD82" s="1268"/>
      <c r="AE82" s="1268"/>
      <c r="AF82" s="1268"/>
      <c r="AG82" s="1268"/>
      <c r="AH82" s="1268"/>
      <c r="AI82" s="1268"/>
      <c r="AJ82" s="1268"/>
      <c r="AK82" s="1268"/>
      <c r="AL82" s="1268"/>
      <c r="AM82" s="1268"/>
      <c r="AN82" s="1268"/>
      <c r="AO82" s="1268"/>
      <c r="AP82" s="1268"/>
      <c r="AQ82" s="1268"/>
      <c r="AR82" s="1450">
        <v>0</v>
      </c>
    </row>
    <row s="1859" customFormat="1" customHeight="1" ht="17.25">
      <c r="A83" s="330"/>
      <c r="C83" s="329"/>
      <c r="D83" s="2164"/>
      <c r="E83" s="2172"/>
      <c r="F83" s="2175"/>
      <c r="G83" s="2172"/>
      <c r="H83" s="1308"/>
      <c r="I83" s="1309"/>
      <c r="J83" s="1309"/>
      <c r="K83" s="1309"/>
      <c r="L83" s="1309"/>
      <c r="M83" s="1309"/>
      <c r="N83" s="1309"/>
      <c r="O83" s="1309"/>
      <c r="P83" s="1309"/>
      <c r="Q83" s="1309"/>
      <c r="R83" s="1309"/>
      <c r="S83" s="1310"/>
      <c r="T83" s="1310"/>
      <c r="U83" s="1310"/>
      <c r="V83" s="1310"/>
      <c r="W83" s="1311"/>
      <c r="Y83" s="1268"/>
      <c r="Z83" s="1268"/>
      <c r="AA83" s="1268"/>
      <c r="AB83" s="1268"/>
      <c r="AC83" s="1268"/>
      <c r="AD83" s="1268"/>
      <c r="AE83" s="1268"/>
      <c r="AF83" s="1268"/>
      <c r="AG83" s="1268"/>
      <c r="AH83" s="1268"/>
      <c r="AI83" s="1268"/>
      <c r="AJ83" s="1268"/>
      <c r="AK83" s="1268"/>
      <c r="AL83" s="1268"/>
      <c r="AM83" s="1268"/>
      <c r="AN83" s="1268"/>
      <c r="AO83" s="1268"/>
      <c r="AP83" s="1268"/>
      <c r="AQ83" s="1268"/>
      <c r="AR83" s="1359">
        <v>0</v>
      </c>
    </row>
    <row s="1859" customFormat="1" customHeight="1" ht="17.25">
      <c r="A84" s="330"/>
      <c r="C84" s="218"/>
      <c r="D84" s="2163">
        <v>2</v>
      </c>
      <c r="E84" s="2171" t="s">
        <v>244</v>
      </c>
      <c r="F84" s="2173" t="s">
        <v>19</v>
      </c>
      <c r="G84" s="2171"/>
      <c r="H84" s="2176"/>
      <c r="I84" s="2178"/>
      <c r="J84" s="2180"/>
      <c r="K84" s="2165"/>
      <c r="L84" s="2165"/>
      <c r="M84" s="2165"/>
      <c r="N84" s="2167"/>
      <c r="O84" s="2165"/>
      <c r="P84" s="2165"/>
      <c r="Q84" s="2165"/>
      <c r="R84" s="2170"/>
      <c r="S84" s="2165"/>
      <c r="T84" s="1452"/>
      <c r="U84" s="1452"/>
      <c r="V84" s="1454"/>
      <c r="W84" s="1305"/>
      <c r="X84" s="1276"/>
      <c r="Y84" s="1276"/>
      <c r="Z84" s="1276"/>
      <c r="AA84" s="1276"/>
      <c r="AB84" s="1276"/>
      <c r="AC84" s="1276" t="s">
        <v>245</v>
      </c>
      <c r="AD84" s="1276" t="s">
        <v>246</v>
      </c>
      <c r="AE84" s="1276" t="s">
        <v>247</v>
      </c>
      <c r="AF84" s="1276" t="s">
        <v>248</v>
      </c>
      <c r="AG84" s="1276"/>
      <c r="AH84" s="1276" t="str">
        <f>IF($E$84=0,"",$E$84)</f>
        <v>Тариф на техническую воду</v>
      </c>
      <c r="AI84" s="1276" t="str">
        <f>IF($G$84=0,"",$G$84)</f>
        <v/>
      </c>
      <c r="AJ84" s="1276" t="str">
        <f>IF($J$84=0,"",$J$84)</f>
        <v/>
      </c>
      <c r="AK84" s="1276" t="str">
        <f>IF($K$84="нет","без дифференциации",IF($N$84=0,"",$N$84))</f>
        <v/>
      </c>
      <c r="AL84" s="1276" t="str">
        <f>IF($O$84="нет","без дифференциации",IF($R$84=0,"",$R$84))</f>
        <v/>
      </c>
      <c r="AM84" s="1276" t="str">
        <f>IF($S$84="нет","без дифференциации",IF($V$84=0,"",$V$84))</f>
        <v/>
      </c>
      <c r="AN84" s="1780">
        <f>$I$84</f>
        <v>0</v>
      </c>
      <c r="AO84" s="1276" t="str">
        <f>$I$84&amp;"."&amp;$M$84</f>
        <v>.</v>
      </c>
      <c r="AP84" s="1268" t="str">
        <f>$I$84&amp;"."&amp;$M$84&amp;"."&amp;$Q$84</f>
        <v>..</v>
      </c>
      <c r="AQ84" s="1268" t="str">
        <f>$I$84&amp;"."&amp;$M$84&amp;"."&amp;$Q$84&amp;"."&amp;$U$84</f>
        <v>...</v>
      </c>
      <c r="AR84" s="1359">
        <v>0</v>
      </c>
    </row>
    <row s="1859" customFormat="1" customHeight="1" ht="17.25">
      <c r="A85" s="330"/>
      <c r="C85" s="329"/>
      <c r="D85" s="2163"/>
      <c r="E85" s="2171"/>
      <c r="F85" s="2174"/>
      <c r="G85" s="2171"/>
      <c r="H85" s="2177"/>
      <c r="I85" s="2179"/>
      <c r="J85" s="2181"/>
      <c r="K85" s="2166"/>
      <c r="L85" s="2166"/>
      <c r="M85" s="2166"/>
      <c r="N85" s="2168"/>
      <c r="O85" s="2166"/>
      <c r="P85" s="2166"/>
      <c r="Q85" s="2166"/>
      <c r="R85" s="2169"/>
      <c r="S85" s="2166"/>
      <c r="T85" s="1306"/>
      <c r="U85" s="1306"/>
      <c r="V85" s="1306"/>
      <c r="W85" s="1307"/>
      <c r="X85" s="1268"/>
      <c r="Y85" s="1268"/>
      <c r="Z85" s="1268"/>
      <c r="AA85" s="1268"/>
      <c r="AB85" s="1268"/>
      <c r="AC85" s="1268"/>
      <c r="AD85" s="1268"/>
      <c r="AE85" s="1268"/>
      <c r="AF85" s="1268"/>
      <c r="AG85" s="1268"/>
      <c r="AH85" s="1268"/>
      <c r="AI85" s="1268"/>
      <c r="AJ85" s="1268"/>
      <c r="AK85" s="1268"/>
      <c r="AL85" s="1268"/>
      <c r="AM85" s="1268"/>
      <c r="AN85" s="1268"/>
      <c r="AO85" s="1268"/>
      <c r="AP85" s="1268"/>
      <c r="AQ85" s="1268"/>
      <c r="AR85" s="1359">
        <v>0</v>
      </c>
    </row>
    <row s="1859" customFormat="1" customHeight="1" ht="17.25">
      <c r="A86" s="330"/>
      <c r="C86" s="329"/>
      <c r="D86" s="2164"/>
      <c r="E86" s="2172"/>
      <c r="F86" s="2174"/>
      <c r="G86" s="2172"/>
      <c r="H86" s="2177"/>
      <c r="I86" s="2179"/>
      <c r="J86" s="2182"/>
      <c r="K86" s="2166"/>
      <c r="L86" s="2166"/>
      <c r="M86" s="2166"/>
      <c r="N86" s="2169"/>
      <c r="O86" s="2166"/>
      <c r="P86" s="1453"/>
      <c r="Q86" s="1306"/>
      <c r="R86" s="1306"/>
      <c r="S86" s="338"/>
      <c r="T86" s="338"/>
      <c r="U86" s="338"/>
      <c r="V86" s="338"/>
      <c r="W86" s="1307"/>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359">
        <v>0</v>
      </c>
    </row>
    <row s="1859" customFormat="1" customHeight="1" ht="17.25">
      <c r="A87" s="330"/>
      <c r="C87" s="329"/>
      <c r="D87" s="2164"/>
      <c r="E87" s="2172"/>
      <c r="F87" s="2174"/>
      <c r="G87" s="2172"/>
      <c r="H87" s="2177"/>
      <c r="I87" s="2179"/>
      <c r="J87" s="2182"/>
      <c r="K87" s="2166"/>
      <c r="L87" s="1306"/>
      <c r="M87" s="1306"/>
      <c r="N87" s="1306"/>
      <c r="O87" s="1306"/>
      <c r="P87" s="1306"/>
      <c r="Q87" s="1306"/>
      <c r="R87" s="1306"/>
      <c r="S87" s="338"/>
      <c r="T87" s="338"/>
      <c r="U87" s="338"/>
      <c r="V87" s="338"/>
      <c r="W87" s="1307"/>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359">
        <v>0</v>
      </c>
    </row>
    <row s="1859" customFormat="1" customHeight="1" ht="17.25">
      <c r="A88" s="330"/>
      <c r="C88" s="329"/>
      <c r="D88" s="2164"/>
      <c r="E88" s="2172"/>
      <c r="F88" s="2175"/>
      <c r="G88" s="2172"/>
      <c r="H88" s="1308"/>
      <c r="I88" s="1309"/>
      <c r="J88" s="1309"/>
      <c r="K88" s="1309"/>
      <c r="L88" s="1309"/>
      <c r="M88" s="1309"/>
      <c r="N88" s="1309"/>
      <c r="O88" s="1309"/>
      <c r="P88" s="1309"/>
      <c r="Q88" s="1309"/>
      <c r="R88" s="1309"/>
      <c r="S88" s="1310"/>
      <c r="T88" s="1310"/>
      <c r="U88" s="1310"/>
      <c r="V88" s="1310"/>
      <c r="W88" s="1311"/>
      <c r="X88" s="1268"/>
      <c r="Y88" s="1268"/>
      <c r="Z88" s="1268"/>
      <c r="AA88" s="1268"/>
      <c r="AB88" s="1268"/>
      <c r="AC88" s="1268"/>
      <c r="AD88" s="1268"/>
      <c r="AE88" s="1268"/>
      <c r="AF88" s="1268"/>
      <c r="AG88" s="1268"/>
      <c r="AH88" s="1268"/>
      <c r="AI88" s="1268"/>
      <c r="AJ88" s="1268"/>
      <c r="AK88" s="1268"/>
      <c r="AL88" s="1268"/>
      <c r="AM88" s="1268"/>
      <c r="AN88" s="1268"/>
      <c r="AO88" s="1268"/>
      <c r="AP88" s="1268"/>
      <c r="AQ88" s="1268"/>
      <c r="AR88" s="1359">
        <v>0</v>
      </c>
    </row>
    <row s="1859" customFormat="1" customHeight="1" ht="17.25">
      <c r="A89" s="330"/>
      <c r="C89" s="218"/>
      <c r="D89" s="2163">
        <v>3</v>
      </c>
      <c r="E89" s="2171" t="s">
        <v>249</v>
      </c>
      <c r="F89" s="2173" t="s">
        <v>19</v>
      </c>
      <c r="G89" s="2171"/>
      <c r="H89" s="2176"/>
      <c r="I89" s="2178"/>
      <c r="J89" s="2180"/>
      <c r="K89" s="2165"/>
      <c r="L89" s="2165"/>
      <c r="M89" s="2165"/>
      <c r="N89" s="2167"/>
      <c r="O89" s="2165"/>
      <c r="P89" s="2165"/>
      <c r="Q89" s="2165"/>
      <c r="R89" s="2170"/>
      <c r="S89" s="2165"/>
      <c r="T89" s="1452"/>
      <c r="U89" s="1452"/>
      <c r="V89" s="1454"/>
      <c r="W89" s="1305"/>
      <c r="X89" s="1276"/>
      <c r="Y89" s="1276"/>
      <c r="Z89" s="1276"/>
      <c r="AA89" s="1276"/>
      <c r="AB89" s="1276"/>
      <c r="AC89" s="1276" t="s">
        <v>250</v>
      </c>
      <c r="AD89" s="1276" t="s">
        <v>251</v>
      </c>
      <c r="AE89" s="1276" t="s">
        <v>252</v>
      </c>
      <c r="AF89" s="1276" t="s">
        <v>253</v>
      </c>
      <c r="AG89" s="1276"/>
      <c r="AH89" s="1276" t="str">
        <f>IF($E$89=0,"",$E$89)</f>
        <v>Тариф на транспортировку воды</v>
      </c>
      <c r="AI89" s="1276" t="str">
        <f>IF($G$89=0,"",$G$89)</f>
        <v/>
      </c>
      <c r="AJ89" s="1276" t="str">
        <f>IF($J$89=0,"",$J$89)</f>
        <v/>
      </c>
      <c r="AK89" s="1276" t="str">
        <f>IF($K$89="нет","без дифференциации",IF($N$89=0,"",$N$89))</f>
        <v/>
      </c>
      <c r="AL89" s="1276" t="str">
        <f>IF($O$89="нет","без дифференциации",IF($R$89=0,"",$R$89))</f>
        <v/>
      </c>
      <c r="AM89" s="1276" t="str">
        <f>IF($S$89="нет","без дифференциации",IF($V$89=0,"",$V$89))</f>
        <v/>
      </c>
      <c r="AN89" s="1780">
        <f>$I$89</f>
        <v>0</v>
      </c>
      <c r="AO89" s="1276" t="str">
        <f>$I$89&amp;"."&amp;$M$89</f>
        <v>.</v>
      </c>
      <c r="AP89" s="1268" t="str">
        <f>$I$89&amp;"."&amp;$M$89&amp;"."&amp;$Q$89</f>
        <v>..</v>
      </c>
      <c r="AQ89" s="1268" t="str">
        <f>$I$89&amp;"."&amp;$M$89&amp;"."&amp;$Q$89&amp;"."&amp;$U$89</f>
        <v>...</v>
      </c>
      <c r="AR89" s="1359">
        <v>0</v>
      </c>
    </row>
    <row s="1859" customFormat="1" customHeight="1" ht="17.25">
      <c r="A90" s="330"/>
      <c r="C90" s="329"/>
      <c r="D90" s="2163"/>
      <c r="E90" s="2171"/>
      <c r="F90" s="2174"/>
      <c r="G90" s="2171"/>
      <c r="H90" s="2177"/>
      <c r="I90" s="2179"/>
      <c r="J90" s="2181"/>
      <c r="K90" s="2166"/>
      <c r="L90" s="2166"/>
      <c r="M90" s="2166"/>
      <c r="N90" s="2168"/>
      <c r="O90" s="2166"/>
      <c r="P90" s="2166"/>
      <c r="Q90" s="2166"/>
      <c r="R90" s="2169"/>
      <c r="S90" s="2166"/>
      <c r="T90" s="1306"/>
      <c r="U90" s="1306"/>
      <c r="V90" s="1306"/>
      <c r="W90" s="1307"/>
      <c r="X90" s="1268"/>
      <c r="Y90" s="1268"/>
      <c r="Z90" s="1268"/>
      <c r="AA90" s="1268"/>
      <c r="AB90" s="1268"/>
      <c r="AC90" s="1268"/>
      <c r="AD90" s="1268"/>
      <c r="AE90" s="1268"/>
      <c r="AF90" s="1268"/>
      <c r="AG90" s="1268"/>
      <c r="AH90" s="1268"/>
      <c r="AI90" s="1268"/>
      <c r="AJ90" s="1268"/>
      <c r="AK90" s="1268"/>
      <c r="AL90" s="1268"/>
      <c r="AM90" s="1268"/>
      <c r="AN90" s="1268"/>
      <c r="AO90" s="1268"/>
      <c r="AP90" s="1268"/>
      <c r="AQ90" s="1268"/>
      <c r="AR90" s="1359">
        <v>0</v>
      </c>
    </row>
    <row s="1859" customFormat="1" customHeight="1" ht="17.25">
      <c r="A91" s="330"/>
      <c r="C91" s="329"/>
      <c r="D91" s="2164"/>
      <c r="E91" s="2172"/>
      <c r="F91" s="2174"/>
      <c r="G91" s="2172"/>
      <c r="H91" s="2177"/>
      <c r="I91" s="2179"/>
      <c r="J91" s="2182"/>
      <c r="K91" s="2166"/>
      <c r="L91" s="2166"/>
      <c r="M91" s="2166"/>
      <c r="N91" s="2169"/>
      <c r="O91" s="2166"/>
      <c r="P91" s="1453"/>
      <c r="Q91" s="1306"/>
      <c r="R91" s="1306"/>
      <c r="S91" s="338"/>
      <c r="T91" s="338"/>
      <c r="U91" s="338"/>
      <c r="V91" s="338"/>
      <c r="W91" s="1307"/>
      <c r="X91" s="1268"/>
      <c r="Y91" s="1268"/>
      <c r="Z91" s="1268"/>
      <c r="AA91" s="1268"/>
      <c r="AB91" s="1268"/>
      <c r="AC91" s="1268"/>
      <c r="AD91" s="1268"/>
      <c r="AE91" s="1268"/>
      <c r="AF91" s="1268"/>
      <c r="AG91" s="1268"/>
      <c r="AH91" s="1268"/>
      <c r="AI91" s="1268"/>
      <c r="AJ91" s="1268"/>
      <c r="AK91" s="1268"/>
      <c r="AL91" s="1268"/>
      <c r="AM91" s="1268"/>
      <c r="AN91" s="1268"/>
      <c r="AO91" s="1268"/>
      <c r="AP91" s="1268"/>
      <c r="AQ91" s="1268"/>
      <c r="AR91" s="1359">
        <v>0</v>
      </c>
    </row>
    <row s="1859" customFormat="1" customHeight="1" ht="17.25">
      <c r="A92" s="330"/>
      <c r="C92" s="329"/>
      <c r="D92" s="2164"/>
      <c r="E92" s="2172"/>
      <c r="F92" s="2174"/>
      <c r="G92" s="2172"/>
      <c r="H92" s="2177"/>
      <c r="I92" s="2179"/>
      <c r="J92" s="2182"/>
      <c r="K92" s="2166"/>
      <c r="L92" s="1306"/>
      <c r="M92" s="1306"/>
      <c r="N92" s="1306"/>
      <c r="O92" s="1306"/>
      <c r="P92" s="1306"/>
      <c r="Q92" s="1306"/>
      <c r="R92" s="1306"/>
      <c r="S92" s="338"/>
      <c r="T92" s="338"/>
      <c r="U92" s="338"/>
      <c r="V92" s="338"/>
      <c r="W92" s="1307"/>
      <c r="X92" s="1268"/>
      <c r="Y92" s="1268"/>
      <c r="Z92" s="1268"/>
      <c r="AA92" s="1268"/>
      <c r="AB92" s="1268"/>
      <c r="AC92" s="1268"/>
      <c r="AD92" s="1268"/>
      <c r="AE92" s="1268"/>
      <c r="AF92" s="1268"/>
      <c r="AG92" s="1268"/>
      <c r="AH92" s="1268"/>
      <c r="AI92" s="1268"/>
      <c r="AJ92" s="1268"/>
      <c r="AK92" s="1268"/>
      <c r="AL92" s="1268"/>
      <c r="AM92" s="1268"/>
      <c r="AN92" s="1268"/>
      <c r="AO92" s="1268"/>
      <c r="AP92" s="1268"/>
      <c r="AQ92" s="1268"/>
      <c r="AR92" s="1359">
        <v>0</v>
      </c>
    </row>
    <row s="1859" customFormat="1" customHeight="1" ht="17.25">
      <c r="A93" s="330"/>
      <c r="C93" s="329"/>
      <c r="D93" s="2164"/>
      <c r="E93" s="2172"/>
      <c r="F93" s="2175"/>
      <c r="G93" s="2172"/>
      <c r="H93" s="1308"/>
      <c r="I93" s="1309"/>
      <c r="J93" s="1309"/>
      <c r="K93" s="1309"/>
      <c r="L93" s="1309"/>
      <c r="M93" s="1309"/>
      <c r="N93" s="1309"/>
      <c r="O93" s="1309"/>
      <c r="P93" s="1309"/>
      <c r="Q93" s="1309"/>
      <c r="R93" s="1309"/>
      <c r="S93" s="1310"/>
      <c r="T93" s="1310"/>
      <c r="U93" s="1310"/>
      <c r="V93" s="1310"/>
      <c r="W93" s="1311"/>
      <c r="X93" s="1268"/>
      <c r="Y93" s="1268"/>
      <c r="Z93" s="1268"/>
      <c r="AA93" s="1268"/>
      <c r="AB93" s="1268"/>
      <c r="AC93" s="1268"/>
      <c r="AD93" s="1268"/>
      <c r="AE93" s="1268"/>
      <c r="AF93" s="1268"/>
      <c r="AG93" s="1268"/>
      <c r="AH93" s="1268"/>
      <c r="AI93" s="1268"/>
      <c r="AJ93" s="1268"/>
      <c r="AK93" s="1268"/>
      <c r="AL93" s="1268"/>
      <c r="AM93" s="1268"/>
      <c r="AN93" s="1268"/>
      <c r="AO93" s="1268"/>
      <c r="AP93" s="1268"/>
      <c r="AQ93" s="1268"/>
      <c r="AR93" s="1359">
        <v>0</v>
      </c>
    </row>
    <row s="1859" customFormat="1" customHeight="1" ht="17.25">
      <c r="A94" s="330"/>
      <c r="C94" s="218"/>
      <c r="D94" s="2163">
        <v>4</v>
      </c>
      <c r="E94" s="2171" t="s">
        <v>254</v>
      </c>
      <c r="F94" s="2173" t="s">
        <v>19</v>
      </c>
      <c r="G94" s="2171"/>
      <c r="H94" s="2176"/>
      <c r="I94" s="2178"/>
      <c r="J94" s="2180"/>
      <c r="K94" s="2165"/>
      <c r="L94" s="2165"/>
      <c r="M94" s="2165"/>
      <c r="N94" s="2167"/>
      <c r="O94" s="2165"/>
      <c r="P94" s="2165"/>
      <c r="Q94" s="2165"/>
      <c r="R94" s="2170"/>
      <c r="S94" s="2165"/>
      <c r="T94" s="1452"/>
      <c r="U94" s="1452"/>
      <c r="V94" s="1454"/>
      <c r="W94" s="1305"/>
      <c r="X94" s="1276"/>
      <c r="Y94" s="1276"/>
      <c r="Z94" s="1276"/>
      <c r="AA94" s="1276"/>
      <c r="AB94" s="1276"/>
      <c r="AC94" s="1276" t="s">
        <v>255</v>
      </c>
      <c r="AD94" s="1276" t="s">
        <v>256</v>
      </c>
      <c r="AE94" s="1276" t="s">
        <v>257</v>
      </c>
      <c r="AF94" s="1276" t="s">
        <v>258</v>
      </c>
      <c r="AG94" s="1276"/>
      <c r="AH94" s="1276" t="str">
        <f>IF($E$94=0,"",$E$94)</f>
        <v>Тариф на подвоз воды</v>
      </c>
      <c r="AI94" s="1276" t="str">
        <f>IF($G$94=0,"",$G$94)</f>
        <v/>
      </c>
      <c r="AJ94" s="1276" t="str">
        <f>IF($J$94=0,"",$J$94)</f>
        <v/>
      </c>
      <c r="AK94" s="1276" t="str">
        <f>IF($K$94="нет","без дифференциации",IF($N$94=0,"",$N$94))</f>
        <v/>
      </c>
      <c r="AL94" s="1276" t="str">
        <f>IF($O$94="нет","без дифференциации",IF($R$94=0,"",$R$94))</f>
        <v/>
      </c>
      <c r="AM94" s="1276" t="str">
        <f>IF($S$94="нет","без дифференциации",IF($V$94=0,"",$V$94))</f>
        <v/>
      </c>
      <c r="AN94" s="1780">
        <f>$I$94</f>
        <v>0</v>
      </c>
      <c r="AO94" s="1276" t="str">
        <f>$I$94&amp;"."&amp;$M$94</f>
        <v>.</v>
      </c>
      <c r="AP94" s="1268" t="str">
        <f>$I$94&amp;"."&amp;$M$94&amp;"."&amp;$Q$94</f>
        <v>..</v>
      </c>
      <c r="AQ94" s="1268" t="str">
        <f>$I$94&amp;"."&amp;$M$94&amp;"."&amp;$Q$94&amp;"."&amp;$U$94</f>
        <v>...</v>
      </c>
      <c r="AR94" s="1359">
        <v>0</v>
      </c>
    </row>
    <row s="1859" customFormat="1" customHeight="1" ht="17.25">
      <c r="A95" s="330"/>
      <c r="C95" s="329"/>
      <c r="D95" s="2163"/>
      <c r="E95" s="2171"/>
      <c r="F95" s="2174"/>
      <c r="G95" s="2171"/>
      <c r="H95" s="2177"/>
      <c r="I95" s="2179"/>
      <c r="J95" s="2181"/>
      <c r="K95" s="2166"/>
      <c r="L95" s="2166"/>
      <c r="M95" s="2166"/>
      <c r="N95" s="2168"/>
      <c r="O95" s="2166"/>
      <c r="P95" s="2166"/>
      <c r="Q95" s="2166"/>
      <c r="R95" s="2169"/>
      <c r="S95" s="2166"/>
      <c r="T95" s="1306"/>
      <c r="U95" s="1306"/>
      <c r="V95" s="1306"/>
      <c r="W95" s="1307"/>
      <c r="X95" s="1268"/>
      <c r="Y95" s="1268"/>
      <c r="Z95" s="1268"/>
      <c r="AA95" s="1268"/>
      <c r="AB95" s="1268"/>
      <c r="AC95" s="1268"/>
      <c r="AD95" s="1268"/>
      <c r="AE95" s="1268"/>
      <c r="AF95" s="1268"/>
      <c r="AG95" s="1268"/>
      <c r="AH95" s="1268"/>
      <c r="AI95" s="1268"/>
      <c r="AJ95" s="1268"/>
      <c r="AK95" s="1268"/>
      <c r="AL95" s="1268"/>
      <c r="AM95" s="1268"/>
      <c r="AN95" s="1268"/>
      <c r="AO95" s="1268"/>
      <c r="AP95" s="1268"/>
      <c r="AQ95" s="1268"/>
      <c r="AR95" s="1359">
        <v>0</v>
      </c>
    </row>
    <row s="1859" customFormat="1" customHeight="1" ht="17.25">
      <c r="A96" s="330"/>
      <c r="C96" s="329"/>
      <c r="D96" s="2164"/>
      <c r="E96" s="2172"/>
      <c r="F96" s="2174"/>
      <c r="G96" s="2172"/>
      <c r="H96" s="2177"/>
      <c r="I96" s="2179"/>
      <c r="J96" s="2182"/>
      <c r="K96" s="2166"/>
      <c r="L96" s="2166"/>
      <c r="M96" s="2166"/>
      <c r="N96" s="2169"/>
      <c r="O96" s="2166"/>
      <c r="P96" s="1453"/>
      <c r="Q96" s="1306"/>
      <c r="R96" s="1306"/>
      <c r="S96" s="338"/>
      <c r="T96" s="338"/>
      <c r="U96" s="338"/>
      <c r="V96" s="338"/>
      <c r="W96" s="1307"/>
      <c r="X96" s="1268"/>
      <c r="Y96" s="1268"/>
      <c r="Z96" s="1268"/>
      <c r="AA96" s="1268"/>
      <c r="AB96" s="1268"/>
      <c r="AC96" s="1268"/>
      <c r="AD96" s="1268"/>
      <c r="AE96" s="1268"/>
      <c r="AF96" s="1268"/>
      <c r="AG96" s="1268"/>
      <c r="AH96" s="1268"/>
      <c r="AI96" s="1268"/>
      <c r="AJ96" s="1268"/>
      <c r="AK96" s="1268"/>
      <c r="AL96" s="1268"/>
      <c r="AM96" s="1268"/>
      <c r="AN96" s="1268"/>
      <c r="AO96" s="1268"/>
      <c r="AP96" s="1268"/>
      <c r="AQ96" s="1268"/>
      <c r="AR96" s="1359">
        <v>0</v>
      </c>
    </row>
    <row s="1859" customFormat="1" customHeight="1" ht="17.25">
      <c r="A97" s="330"/>
      <c r="C97" s="329"/>
      <c r="D97" s="2164"/>
      <c r="E97" s="2172"/>
      <c r="F97" s="2174"/>
      <c r="G97" s="2172"/>
      <c r="H97" s="2177"/>
      <c r="I97" s="2179"/>
      <c r="J97" s="2182"/>
      <c r="K97" s="2166"/>
      <c r="L97" s="1306"/>
      <c r="M97" s="1306"/>
      <c r="N97" s="1306"/>
      <c r="O97" s="1306"/>
      <c r="P97" s="1306"/>
      <c r="Q97" s="1306"/>
      <c r="R97" s="1306"/>
      <c r="S97" s="338"/>
      <c r="T97" s="338"/>
      <c r="U97" s="338"/>
      <c r="V97" s="338"/>
      <c r="W97" s="1307"/>
      <c r="X97" s="1268"/>
      <c r="Y97" s="1268"/>
      <c r="Z97" s="1268"/>
      <c r="AA97" s="1268"/>
      <c r="AB97" s="1268"/>
      <c r="AC97" s="1268"/>
      <c r="AD97" s="1268"/>
      <c r="AE97" s="1268"/>
      <c r="AF97" s="1268"/>
      <c r="AG97" s="1268"/>
      <c r="AH97" s="1268"/>
      <c r="AI97" s="1268"/>
      <c r="AJ97" s="1268"/>
      <c r="AK97" s="1268"/>
      <c r="AL97" s="1268"/>
      <c r="AM97" s="1268"/>
      <c r="AN97" s="1268"/>
      <c r="AO97" s="1268"/>
      <c r="AP97" s="1268"/>
      <c r="AQ97" s="1268"/>
      <c r="AR97" s="1359">
        <v>0</v>
      </c>
    </row>
    <row s="1859" customFormat="1" customHeight="1" ht="17.25">
      <c r="A98" s="330"/>
      <c r="C98" s="329"/>
      <c r="D98" s="2164"/>
      <c r="E98" s="2172"/>
      <c r="F98" s="2175"/>
      <c r="G98" s="2172"/>
      <c r="H98" s="1308"/>
      <c r="I98" s="1309"/>
      <c r="J98" s="1309"/>
      <c r="K98" s="1309"/>
      <c r="L98" s="1309"/>
      <c r="M98" s="1309"/>
      <c r="N98" s="1309"/>
      <c r="O98" s="1309"/>
      <c r="P98" s="1309"/>
      <c r="Q98" s="1309"/>
      <c r="R98" s="1309"/>
      <c r="S98" s="1310"/>
      <c r="T98" s="1310"/>
      <c r="U98" s="1310"/>
      <c r="V98" s="1310"/>
      <c r="W98" s="1311"/>
      <c r="X98" s="1268"/>
      <c r="Y98" s="1268"/>
      <c r="Z98" s="1268"/>
      <c r="AA98" s="1268"/>
      <c r="AB98" s="1268"/>
      <c r="AC98" s="1268"/>
      <c r="AD98" s="1268"/>
      <c r="AE98" s="1268"/>
      <c r="AF98" s="1268"/>
      <c r="AG98" s="1268"/>
      <c r="AH98" s="1268"/>
      <c r="AI98" s="1268"/>
      <c r="AJ98" s="1268"/>
      <c r="AK98" s="1268"/>
      <c r="AL98" s="1268"/>
      <c r="AM98" s="1268"/>
      <c r="AN98" s="1268"/>
      <c r="AO98" s="1268"/>
      <c r="AP98" s="1268"/>
      <c r="AQ98" s="1268"/>
      <c r="AR98" s="1359">
        <v>0</v>
      </c>
    </row>
    <row s="1859" customFormat="1" customHeight="1" ht="17.25">
      <c r="A99" s="330"/>
      <c r="C99" s="218"/>
      <c r="D99" s="2163">
        <v>5</v>
      </c>
      <c r="E99" s="2171" t="s">
        <v>259</v>
      </c>
      <c r="F99" s="2173" t="s">
        <v>19</v>
      </c>
      <c r="G99" s="2171"/>
      <c r="H99" s="2176"/>
      <c r="I99" s="2178"/>
      <c r="J99" s="2180"/>
      <c r="K99" s="2165"/>
      <c r="L99" s="2165"/>
      <c r="M99" s="2165"/>
      <c r="N99" s="2167"/>
      <c r="O99" s="2165"/>
      <c r="P99" s="2165"/>
      <c r="Q99" s="2165"/>
      <c r="R99" s="2170"/>
      <c r="S99" s="2165"/>
      <c r="T99" s="1949"/>
      <c r="U99" s="1949"/>
      <c r="V99" s="1951"/>
      <c r="W99" s="1305"/>
      <c r="X99" s="1276"/>
      <c r="Y99" s="1276"/>
      <c r="Z99" s="1276"/>
      <c r="AA99" s="1276"/>
      <c r="AB99" s="1276"/>
      <c r="AC99" s="1276" t="s">
        <v>260</v>
      </c>
      <c r="AD99" s="1276" t="s">
        <v>261</v>
      </c>
      <c r="AE99" s="1276" t="s">
        <v>262</v>
      </c>
      <c r="AF99" s="1276" t="s">
        <v>263</v>
      </c>
      <c r="AG99" s="1276"/>
      <c r="AH99" s="1276" t="str">
        <f>IF($E$99=0,"",$E$99)</f>
        <v>Тариф на подключение (технологическое присоединение) к централизованной системе холодного водоснабжения</v>
      </c>
      <c r="AI99" s="1276" t="str">
        <f>IF($G$99=0,"",$G$99)</f>
        <v/>
      </c>
      <c r="AJ99" s="1276" t="str">
        <f>IF($J$99=0,"",$J$99)</f>
        <v/>
      </c>
      <c r="AK99" s="1276" t="str">
        <f>IF($K$99="нет","без дифференциации",IF($N$99=0,"",$N$99))</f>
        <v/>
      </c>
      <c r="AL99" s="1276" t="str">
        <f>IF($O$99="нет","без дифференциации",IF($R$99=0,"",$R$99))</f>
        <v/>
      </c>
      <c r="AM99" s="1276" t="str">
        <f>IF($S$99="нет","без дифференциации",IF($V$99=0,"",$V$99))</f>
        <v/>
      </c>
      <c r="AN99" s="1780">
        <f>$I$99</f>
        <v>0</v>
      </c>
      <c r="AO99" s="1276" t="str">
        <f>$I$99&amp;"."&amp;$M$99</f>
        <v>.</v>
      </c>
      <c r="AP99" s="1275" t="str">
        <f>$I$99&amp;"."&amp;$M$99&amp;"."&amp;$Q$99</f>
        <v>..</v>
      </c>
      <c r="AQ99" s="1275" t="str">
        <f>$I$99&amp;"."&amp;$M$99&amp;"."&amp;$Q$99&amp;"."&amp;$U$99</f>
        <v>...</v>
      </c>
      <c r="AR99" s="1476">
        <v>0</v>
      </c>
    </row>
    <row s="1859" customFormat="1" customHeight="1" ht="17.25">
      <c r="A100" s="330"/>
      <c r="C100" s="329"/>
      <c r="D100" s="2163"/>
      <c r="E100" s="2171"/>
      <c r="F100" s="2174"/>
      <c r="G100" s="2171"/>
      <c r="H100" s="2177"/>
      <c r="I100" s="2179"/>
      <c r="J100" s="2181"/>
      <c r="K100" s="2166"/>
      <c r="L100" s="2166"/>
      <c r="M100" s="2166"/>
      <c r="N100" s="2168"/>
      <c r="O100" s="2166"/>
      <c r="P100" s="2166"/>
      <c r="Q100" s="2166"/>
      <c r="R100" s="2169"/>
      <c r="S100" s="2166"/>
      <c r="T100" s="1954"/>
      <c r="U100" s="1954"/>
      <c r="V100" s="1954"/>
      <c r="W100" s="1955"/>
      <c r="X100" s="1275"/>
      <c r="Y100" s="1275"/>
      <c r="Z100" s="1275"/>
      <c r="AA100" s="1275"/>
      <c r="AB100" s="1275"/>
      <c r="AC100" s="1275"/>
      <c r="AD100" s="1275"/>
      <c r="AE100" s="1275"/>
      <c r="AF100" s="1275"/>
      <c r="AG100" s="1275"/>
      <c r="AH100" s="1275"/>
      <c r="AI100" s="1275"/>
      <c r="AJ100" s="1275"/>
      <c r="AK100" s="1275"/>
      <c r="AL100" s="1275"/>
      <c r="AM100" s="1275"/>
      <c r="AN100" s="1275"/>
      <c r="AO100" s="1275"/>
      <c r="AP100" s="1275"/>
      <c r="AQ100" s="1275"/>
      <c r="AR100" s="1476">
        <v>0</v>
      </c>
    </row>
    <row s="1859" customFormat="1" customHeight="1" ht="17.25">
      <c r="A101" s="330"/>
      <c r="C101" s="329"/>
      <c r="D101" s="2164"/>
      <c r="E101" s="2172"/>
      <c r="F101" s="2174"/>
      <c r="G101" s="2172"/>
      <c r="H101" s="2177"/>
      <c r="I101" s="2179"/>
      <c r="J101" s="2182"/>
      <c r="K101" s="2166"/>
      <c r="L101" s="2166"/>
      <c r="M101" s="2166"/>
      <c r="N101" s="2169"/>
      <c r="O101" s="2166"/>
      <c r="P101" s="1950"/>
      <c r="Q101" s="1954"/>
      <c r="R101" s="1954"/>
      <c r="S101" s="338"/>
      <c r="T101" s="338"/>
      <c r="U101" s="338"/>
      <c r="V101" s="338"/>
      <c r="W101" s="1955"/>
      <c r="X101" s="1275"/>
      <c r="Y101" s="1275"/>
      <c r="Z101" s="1275"/>
      <c r="AA101" s="1275"/>
      <c r="AB101" s="1275"/>
      <c r="AC101" s="1275"/>
      <c r="AD101" s="1275"/>
      <c r="AE101" s="1275"/>
      <c r="AF101" s="1275"/>
      <c r="AG101" s="1275"/>
      <c r="AH101" s="1275"/>
      <c r="AI101" s="1275"/>
      <c r="AJ101" s="1275"/>
      <c r="AK101" s="1275"/>
      <c r="AL101" s="1275"/>
      <c r="AM101" s="1275"/>
      <c r="AN101" s="1275"/>
      <c r="AO101" s="1275"/>
      <c r="AP101" s="1275"/>
      <c r="AQ101" s="1275"/>
      <c r="AR101" s="1476">
        <v>0</v>
      </c>
    </row>
    <row s="1859" customFormat="1" customHeight="1" ht="17.25">
      <c r="A102" s="330"/>
      <c r="C102" s="329"/>
      <c r="D102" s="2164"/>
      <c r="E102" s="2172"/>
      <c r="F102" s="2174"/>
      <c r="G102" s="2172"/>
      <c r="H102" s="2177"/>
      <c r="I102" s="2179"/>
      <c r="J102" s="2182"/>
      <c r="K102" s="2166"/>
      <c r="L102" s="1954"/>
      <c r="M102" s="1954"/>
      <c r="N102" s="1954"/>
      <c r="O102" s="1954"/>
      <c r="P102" s="1954"/>
      <c r="Q102" s="1954"/>
      <c r="R102" s="1954"/>
      <c r="S102" s="338"/>
      <c r="T102" s="338"/>
      <c r="U102" s="338"/>
      <c r="V102" s="338"/>
      <c r="W102" s="1955"/>
      <c r="X102" s="1275"/>
      <c r="Y102" s="1275"/>
      <c r="Z102" s="1275"/>
      <c r="AA102" s="1275"/>
      <c r="AB102" s="1275"/>
      <c r="AC102" s="1275"/>
      <c r="AD102" s="1275"/>
      <c r="AE102" s="1275"/>
      <c r="AF102" s="1275"/>
      <c r="AG102" s="1275"/>
      <c r="AH102" s="1275"/>
      <c r="AI102" s="1275"/>
      <c r="AJ102" s="1275"/>
      <c r="AK102" s="1275"/>
      <c r="AL102" s="1275"/>
      <c r="AM102" s="1275"/>
      <c r="AN102" s="1275"/>
      <c r="AO102" s="1275"/>
      <c r="AP102" s="1275"/>
      <c r="AQ102" s="1275"/>
      <c r="AR102" s="1476">
        <v>0</v>
      </c>
    </row>
    <row s="1859" customFormat="1" customHeight="1" ht="17.25">
      <c r="A103" s="330"/>
      <c r="C103" s="329"/>
      <c r="D103" s="2164"/>
      <c r="E103" s="2172"/>
      <c r="F103" s="2175"/>
      <c r="G103" s="2172"/>
      <c r="H103" s="1308"/>
      <c r="I103" s="1952"/>
      <c r="J103" s="1952"/>
      <c r="K103" s="1952"/>
      <c r="L103" s="1952"/>
      <c r="M103" s="1952"/>
      <c r="N103" s="1952"/>
      <c r="O103" s="1952"/>
      <c r="P103" s="1952"/>
      <c r="Q103" s="1952"/>
      <c r="R103" s="1952"/>
      <c r="S103" s="1310"/>
      <c r="T103" s="1310"/>
      <c r="U103" s="1310"/>
      <c r="V103" s="1310"/>
      <c r="W103" s="1953"/>
      <c r="X103" s="1275"/>
      <c r="Y103" s="1275"/>
      <c r="Z103" s="1275"/>
      <c r="AA103" s="1275"/>
      <c r="AB103" s="1275"/>
      <c r="AC103" s="1275"/>
      <c r="AD103" s="1275"/>
      <c r="AE103" s="1275"/>
      <c r="AF103" s="1275"/>
      <c r="AG103" s="1275"/>
      <c r="AH103" s="1275"/>
      <c r="AI103" s="1275"/>
      <c r="AJ103" s="1275"/>
      <c r="AK103" s="1275"/>
      <c r="AL103" s="1275"/>
      <c r="AM103" s="1275"/>
      <c r="AN103" s="1275"/>
      <c r="AO103" s="1275"/>
      <c r="AP103" s="1275"/>
      <c r="AQ103" s="1275"/>
      <c r="AR103" s="1476">
        <v>0</v>
      </c>
    </row>
    <row s="1859" customFormat="1" customHeight="1" ht="11.25">
      <c r="A104" s="286"/>
      <c r="B104" s="286"/>
      <c r="Y104" s="1268"/>
      <c r="Z104" s="1268"/>
      <c r="AA104" s="1268"/>
      <c r="AB104" s="1268"/>
      <c r="AC104" s="1268"/>
      <c r="AD104" s="1268"/>
      <c r="AE104" s="1268"/>
      <c r="AF104" s="1268"/>
      <c r="AG104" s="1268"/>
      <c r="AH104" s="1268"/>
      <c r="AI104" s="1268"/>
      <c r="AJ104" s="1268"/>
      <c r="AK104" s="1268"/>
      <c r="AL104" s="1268"/>
      <c r="AM104" s="1268"/>
      <c r="AN104" s="1268"/>
      <c r="AO104" s="1268"/>
      <c r="AP104" s="1268"/>
      <c r="AQ104" s="1268"/>
      <c r="AR104" s="1476">
        <v>0</v>
      </c>
    </row>
    <row s="1859" customFormat="1" customHeight="1" ht="17.25">
      <c r="A105" s="330"/>
      <c r="C105" s="218"/>
      <c r="D105" s="2163">
        <v>1</v>
      </c>
      <c r="E105" s="2171" t="s">
        <v>264</v>
      </c>
      <c r="F105" s="2173" t="s">
        <v>19</v>
      </c>
      <c r="G105" s="2171"/>
      <c r="H105" s="2176"/>
      <c r="I105" s="2178"/>
      <c r="J105" s="2180"/>
      <c r="K105" s="2165"/>
      <c r="L105" s="2165"/>
      <c r="M105" s="2165"/>
      <c r="N105" s="2167"/>
      <c r="O105" s="2165"/>
      <c r="P105" s="2165"/>
      <c r="Q105" s="2165"/>
      <c r="R105" s="2170"/>
      <c r="S105" s="2165"/>
      <c r="T105" s="1479"/>
      <c r="U105" s="1479"/>
      <c r="V105" s="1481"/>
      <c r="W105" s="1305"/>
      <c r="Y105" s="1276"/>
      <c r="Z105" s="1276"/>
      <c r="AA105" s="1276"/>
      <c r="AB105" s="1276"/>
      <c r="AC105" s="1276" t="s">
        <v>265</v>
      </c>
      <c r="AD105" s="1276" t="s">
        <v>266</v>
      </c>
      <c r="AE105" s="1276" t="s">
        <v>267</v>
      </c>
      <c r="AF105" s="1276" t="s">
        <v>268</v>
      </c>
      <c r="AG105" s="1276"/>
      <c r="AH105" s="1276" t="str">
        <f>IF($E$105=0,"",$E$105)</f>
        <v>Тариф на горячую воду (горячее водоснабжение)</v>
      </c>
      <c r="AI105" s="1276" t="str">
        <f>IF($G$105=0,"",$G$105)</f>
        <v/>
      </c>
      <c r="AJ105" s="1276" t="str">
        <f>IF($J$105=0,"",$J$105)</f>
        <v/>
      </c>
      <c r="AK105" s="1276" t="str">
        <f>IF($K$105="нет","без дифференциации",IF($N$105=0,"",$N$105))</f>
        <v/>
      </c>
      <c r="AL105" s="1276" t="str">
        <f>IF($O$105="нет","без дифференциации",IF($R$105=0,"",$R$105))</f>
        <v/>
      </c>
      <c r="AM105" s="1276" t="str">
        <f>IF($S$105="нет","без дифференциации",IF($V$105=0,"",$V$105))</f>
        <v/>
      </c>
      <c r="AN105" s="1276">
        <f>$I$105</f>
        <v>0</v>
      </c>
      <c r="AO105" s="1276" t="str">
        <f>$I$105&amp;"."&amp;$M$105</f>
        <v>.</v>
      </c>
      <c r="AP105" s="1276" t="str">
        <f>$I$105&amp;"."&amp;$M$105&amp;"."&amp;$Q$105</f>
        <v>..</v>
      </c>
      <c r="AQ105" s="1276" t="str">
        <f>$I$105&amp;"."&amp;$M$105&amp;"."&amp;$Q$105&amp;"."&amp;$U$105</f>
        <v>...</v>
      </c>
      <c r="AR105" s="1476">
        <v>0</v>
      </c>
    </row>
    <row s="1859" customFormat="1" customHeight="1" ht="17.25">
      <c r="A106" s="330"/>
      <c r="C106" s="329"/>
      <c r="D106" s="2163"/>
      <c r="E106" s="2171"/>
      <c r="F106" s="2174"/>
      <c r="G106" s="2171"/>
      <c r="H106" s="2177"/>
      <c r="I106" s="2179"/>
      <c r="J106" s="2181"/>
      <c r="K106" s="2166"/>
      <c r="L106" s="2166"/>
      <c r="M106" s="2166"/>
      <c r="N106" s="2168"/>
      <c r="O106" s="2166"/>
      <c r="P106" s="2166"/>
      <c r="Q106" s="2166"/>
      <c r="R106" s="2169"/>
      <c r="S106" s="2166"/>
      <c r="T106" s="1306"/>
      <c r="U106" s="1306"/>
      <c r="V106" s="1306"/>
      <c r="W106" s="1307"/>
      <c r="Y106" s="1268"/>
      <c r="Z106" s="1268"/>
      <c r="AA106" s="1268"/>
      <c r="AB106" s="1268"/>
      <c r="AC106" s="1268"/>
      <c r="AD106" s="1268"/>
      <c r="AE106" s="1268"/>
      <c r="AF106" s="1268"/>
      <c r="AG106" s="1268"/>
      <c r="AH106" s="1268"/>
      <c r="AI106" s="1268"/>
      <c r="AJ106" s="1268"/>
      <c r="AK106" s="1268"/>
      <c r="AL106" s="1268"/>
      <c r="AM106" s="1268"/>
      <c r="AN106" s="1268"/>
      <c r="AO106" s="1268"/>
      <c r="AP106" s="1268"/>
      <c r="AQ106" s="1268"/>
      <c r="AR106" s="1476">
        <v>0</v>
      </c>
    </row>
    <row s="1859" customFormat="1" customHeight="1" ht="17.25">
      <c r="A107" s="330"/>
      <c r="C107" s="218"/>
      <c r="D107" s="2163"/>
      <c r="E107" s="2171"/>
      <c r="F107" s="2174"/>
      <c r="G107" s="2171"/>
      <c r="H107" s="2177"/>
      <c r="I107" s="2179"/>
      <c r="J107" s="2182"/>
      <c r="K107" s="2166"/>
      <c r="L107" s="2166"/>
      <c r="M107" s="2166"/>
      <c r="N107" s="2169"/>
      <c r="O107" s="2166"/>
      <c r="P107" s="1480"/>
      <c r="Q107" s="1306"/>
      <c r="R107" s="1306"/>
      <c r="S107" s="338"/>
      <c r="T107" s="338"/>
      <c r="U107" s="338"/>
      <c r="V107" s="338"/>
      <c r="W107" s="1307"/>
      <c r="Y107" s="1276"/>
      <c r="Z107" s="1276"/>
      <c r="AA107" s="1276"/>
      <c r="AB107" s="1276"/>
      <c r="AC107" s="1276"/>
      <c r="AD107" s="1276"/>
      <c r="AE107" s="1276"/>
      <c r="AF107" s="1276"/>
      <c r="AG107" s="1276"/>
      <c r="AH107" s="1276"/>
      <c r="AI107" s="1276"/>
      <c r="AJ107" s="1276"/>
      <c r="AK107" s="1276"/>
      <c r="AL107" s="1276"/>
      <c r="AM107" s="1276"/>
      <c r="AN107" s="1276"/>
      <c r="AO107" s="1276"/>
      <c r="AP107" s="1276"/>
      <c r="AQ107" s="1276"/>
      <c r="AR107" s="1476">
        <v>0</v>
      </c>
    </row>
    <row s="1859" customFormat="1" customHeight="1" ht="17.25">
      <c r="A108" s="330"/>
      <c r="C108" s="329"/>
      <c r="D108" s="2163"/>
      <c r="E108" s="2171"/>
      <c r="F108" s="2174"/>
      <c r="G108" s="2171"/>
      <c r="H108" s="2177"/>
      <c r="I108" s="2179"/>
      <c r="J108" s="2182"/>
      <c r="K108" s="2166"/>
      <c r="L108" s="1306"/>
      <c r="M108" s="1306"/>
      <c r="N108" s="1306"/>
      <c r="O108" s="1306"/>
      <c r="P108" s="1306"/>
      <c r="Q108" s="1306"/>
      <c r="R108" s="1306"/>
      <c r="S108" s="338"/>
      <c r="T108" s="338"/>
      <c r="U108" s="338"/>
      <c r="V108" s="338"/>
      <c r="W108" s="1307"/>
      <c r="Y108" s="1268"/>
      <c r="Z108" s="1268"/>
      <c r="AA108" s="1268"/>
      <c r="AB108" s="1268"/>
      <c r="AC108" s="1268"/>
      <c r="AD108" s="1268"/>
      <c r="AE108" s="1268"/>
      <c r="AF108" s="1268"/>
      <c r="AG108" s="1268"/>
      <c r="AH108" s="1268"/>
      <c r="AI108" s="1268"/>
      <c r="AJ108" s="1268"/>
      <c r="AK108" s="1268"/>
      <c r="AL108" s="1268"/>
      <c r="AM108" s="1268"/>
      <c r="AN108" s="1268"/>
      <c r="AO108" s="1268"/>
      <c r="AP108" s="1268"/>
      <c r="AQ108" s="1268"/>
      <c r="AR108" s="1476">
        <v>0</v>
      </c>
    </row>
    <row s="1859" customFormat="1" customHeight="1" ht="17.25">
      <c r="A109" s="330"/>
      <c r="C109" s="329"/>
      <c r="D109" s="2164"/>
      <c r="E109" s="2172"/>
      <c r="F109" s="2175"/>
      <c r="G109" s="2172"/>
      <c r="H109" s="1308"/>
      <c r="I109" s="1309"/>
      <c r="J109" s="1309"/>
      <c r="K109" s="1309"/>
      <c r="L109" s="1309"/>
      <c r="M109" s="1309"/>
      <c r="N109" s="1309"/>
      <c r="O109" s="1309"/>
      <c r="P109" s="1309"/>
      <c r="Q109" s="1309"/>
      <c r="R109" s="1309"/>
      <c r="S109" s="1310"/>
      <c r="T109" s="1310"/>
      <c r="U109" s="1310"/>
      <c r="V109" s="1310"/>
      <c r="W109" s="1311"/>
      <c r="Y109" s="1268"/>
      <c r="Z109" s="1268"/>
      <c r="AA109" s="1268"/>
      <c r="AB109" s="1268"/>
      <c r="AC109" s="1268"/>
      <c r="AD109" s="1268"/>
      <c r="AE109" s="1268"/>
      <c r="AF109" s="1268"/>
      <c r="AG109" s="1268"/>
      <c r="AH109" s="1268"/>
      <c r="AI109" s="1268"/>
      <c r="AJ109" s="1268"/>
      <c r="AK109" s="1268"/>
      <c r="AL109" s="1268"/>
      <c r="AM109" s="1268"/>
      <c r="AN109" s="1268"/>
      <c r="AO109" s="1268"/>
      <c r="AP109" s="1268"/>
      <c r="AQ109" s="1268"/>
      <c r="AR109" s="1476">
        <v>0</v>
      </c>
    </row>
    <row s="1859" customFormat="1" customHeight="1" ht="17.25">
      <c r="A110" s="330"/>
      <c r="C110" s="218"/>
      <c r="D110" s="2163">
        <v>2</v>
      </c>
      <c r="E110" s="2171" t="s">
        <v>269</v>
      </c>
      <c r="F110" s="2173" t="s">
        <v>19</v>
      </c>
      <c r="G110" s="2171"/>
      <c r="H110" s="2176"/>
      <c r="I110" s="2178"/>
      <c r="J110" s="2180"/>
      <c r="K110" s="2165"/>
      <c r="L110" s="2165"/>
      <c r="M110" s="2165"/>
      <c r="N110" s="2167"/>
      <c r="O110" s="2165"/>
      <c r="P110" s="2165"/>
      <c r="Q110" s="2165"/>
      <c r="R110" s="2170"/>
      <c r="S110" s="2165"/>
      <c r="T110" s="1479"/>
      <c r="U110" s="1479"/>
      <c r="V110" s="1481"/>
      <c r="W110" s="1305"/>
      <c r="X110" s="1276"/>
      <c r="Y110" s="1276"/>
      <c r="Z110" s="1276"/>
      <c r="AA110" s="1276"/>
      <c r="AB110" s="1276"/>
      <c r="AC110" s="1276" t="s">
        <v>270</v>
      </c>
      <c r="AD110" s="1276" t="s">
        <v>271</v>
      </c>
      <c r="AE110" s="1276" t="s">
        <v>272</v>
      </c>
      <c r="AF110" s="1276" t="s">
        <v>273</v>
      </c>
      <c r="AG110" s="1276"/>
      <c r="AH110" s="1276" t="str">
        <f>IF($E$110=0,"",$E$110)</f>
        <v>Тариф на транспортировку горячей воды</v>
      </c>
      <c r="AI110" s="1276" t="str">
        <f>IF($G$110=0,"",$G$110)</f>
        <v/>
      </c>
      <c r="AJ110" s="1276" t="str">
        <f>IF($J$110=0,"",$J$110)</f>
        <v/>
      </c>
      <c r="AK110" s="1276" t="str">
        <f>IF($K$110="нет","без дифференциации",IF($N$110=0,"",$N$110))</f>
        <v/>
      </c>
      <c r="AL110" s="1276" t="str">
        <f>IF($O$110="нет","без дифференциации",IF($R$110=0,"",$R$110))</f>
        <v/>
      </c>
      <c r="AM110" s="1276" t="str">
        <f>IF($S$110="нет","без дифференциации",IF($V$110=0,"",$V$110))</f>
        <v/>
      </c>
      <c r="AN110" s="1780">
        <f>$I$110</f>
        <v>0</v>
      </c>
      <c r="AO110" s="1276" t="str">
        <f>$I$110&amp;"."&amp;$M$110</f>
        <v>.</v>
      </c>
      <c r="AP110" s="1268" t="str">
        <f>$I$110&amp;"."&amp;$M$110&amp;"."&amp;$Q$110</f>
        <v>..</v>
      </c>
      <c r="AQ110" s="1268" t="str">
        <f>$I$110&amp;"."&amp;$M$110&amp;"."&amp;$Q$110&amp;"."&amp;$U$110</f>
        <v>...</v>
      </c>
      <c r="AR110" s="1476">
        <v>0</v>
      </c>
    </row>
    <row s="1859" customFormat="1" customHeight="1" ht="17.25">
      <c r="A111" s="330"/>
      <c r="C111" s="329"/>
      <c r="D111" s="2163"/>
      <c r="E111" s="2171"/>
      <c r="F111" s="2174"/>
      <c r="G111" s="2171"/>
      <c r="H111" s="2177"/>
      <c r="I111" s="2179"/>
      <c r="J111" s="2181"/>
      <c r="K111" s="2166"/>
      <c r="L111" s="2166"/>
      <c r="M111" s="2166"/>
      <c r="N111" s="2168"/>
      <c r="O111" s="2166"/>
      <c r="P111" s="2166"/>
      <c r="Q111" s="2166"/>
      <c r="R111" s="2169"/>
      <c r="S111" s="2166"/>
      <c r="T111" s="1306"/>
      <c r="U111" s="1306"/>
      <c r="V111" s="1306"/>
      <c r="W111" s="1307"/>
      <c r="X111" s="1268"/>
      <c r="Y111" s="1268"/>
      <c r="Z111" s="1268"/>
      <c r="AA111" s="1268"/>
      <c r="AB111" s="1268"/>
      <c r="AC111" s="1268"/>
      <c r="AD111" s="1268"/>
      <c r="AE111" s="1268"/>
      <c r="AF111" s="1268"/>
      <c r="AG111" s="1268"/>
      <c r="AH111" s="1268"/>
      <c r="AI111" s="1268"/>
      <c r="AJ111" s="1268"/>
      <c r="AK111" s="1268"/>
      <c r="AL111" s="1268"/>
      <c r="AM111" s="1268"/>
      <c r="AN111" s="1268"/>
      <c r="AO111" s="1268"/>
      <c r="AP111" s="1268"/>
      <c r="AQ111" s="1268"/>
      <c r="AR111" s="1476">
        <v>0</v>
      </c>
    </row>
    <row s="1859" customFormat="1" customHeight="1" ht="17.25">
      <c r="A112" s="330"/>
      <c r="C112" s="329"/>
      <c r="D112" s="2164"/>
      <c r="E112" s="2172"/>
      <c r="F112" s="2174"/>
      <c r="G112" s="2172"/>
      <c r="H112" s="2177"/>
      <c r="I112" s="2179"/>
      <c r="J112" s="2182"/>
      <c r="K112" s="2166"/>
      <c r="L112" s="2166"/>
      <c r="M112" s="2166"/>
      <c r="N112" s="2169"/>
      <c r="O112" s="2166"/>
      <c r="P112" s="1480"/>
      <c r="Q112" s="1306"/>
      <c r="R112" s="1306"/>
      <c r="S112" s="338"/>
      <c r="T112" s="338"/>
      <c r="U112" s="338"/>
      <c r="V112" s="338"/>
      <c r="W112" s="1307"/>
      <c r="X112" s="1268"/>
      <c r="Y112" s="1268"/>
      <c r="Z112" s="1268"/>
      <c r="AA112" s="1268"/>
      <c r="AB112" s="1268"/>
      <c r="AC112" s="1268"/>
      <c r="AD112" s="1268"/>
      <c r="AE112" s="1268"/>
      <c r="AF112" s="1268"/>
      <c r="AG112" s="1268"/>
      <c r="AH112" s="1268"/>
      <c r="AI112" s="1268"/>
      <c r="AJ112" s="1268"/>
      <c r="AK112" s="1268"/>
      <c r="AL112" s="1268"/>
      <c r="AM112" s="1268"/>
      <c r="AN112" s="1268"/>
      <c r="AO112" s="1268"/>
      <c r="AP112" s="1268"/>
      <c r="AQ112" s="1268"/>
      <c r="AR112" s="1476">
        <v>0</v>
      </c>
    </row>
    <row s="1859" customFormat="1" customHeight="1" ht="17.25">
      <c r="A113" s="330"/>
      <c r="C113" s="329"/>
      <c r="D113" s="2164"/>
      <c r="E113" s="2172"/>
      <c r="F113" s="2174"/>
      <c r="G113" s="2172"/>
      <c r="H113" s="2177"/>
      <c r="I113" s="2179"/>
      <c r="J113" s="2182"/>
      <c r="K113" s="2166"/>
      <c r="L113" s="1306"/>
      <c r="M113" s="1306"/>
      <c r="N113" s="1306"/>
      <c r="O113" s="1306"/>
      <c r="P113" s="1306"/>
      <c r="Q113" s="1306"/>
      <c r="R113" s="1306"/>
      <c r="S113" s="338"/>
      <c r="T113" s="338"/>
      <c r="U113" s="338"/>
      <c r="V113" s="338"/>
      <c r="W113" s="1307"/>
      <c r="X113" s="1268"/>
      <c r="Y113" s="1268"/>
      <c r="Z113" s="1268"/>
      <c r="AA113" s="1268"/>
      <c r="AB113" s="1268"/>
      <c r="AC113" s="1268"/>
      <c r="AD113" s="1268"/>
      <c r="AE113" s="1268"/>
      <c r="AF113" s="1268"/>
      <c r="AG113" s="1268"/>
      <c r="AH113" s="1268"/>
      <c r="AI113" s="1268"/>
      <c r="AJ113" s="1268"/>
      <c r="AK113" s="1268"/>
      <c r="AL113" s="1268"/>
      <c r="AM113" s="1268"/>
      <c r="AN113" s="1268"/>
      <c r="AO113" s="1268"/>
      <c r="AP113" s="1268"/>
      <c r="AQ113" s="1268"/>
      <c r="AR113" s="1476">
        <v>0</v>
      </c>
    </row>
    <row s="1859" customFormat="1" customHeight="1" ht="17.25">
      <c r="A114" s="330"/>
      <c r="C114" s="329"/>
      <c r="D114" s="2164"/>
      <c r="E114" s="2172"/>
      <c r="F114" s="2175"/>
      <c r="G114" s="2172"/>
      <c r="H114" s="1308"/>
      <c r="I114" s="1309"/>
      <c r="J114" s="1309"/>
      <c r="K114" s="1309"/>
      <c r="L114" s="1309"/>
      <c r="M114" s="1309"/>
      <c r="N114" s="1309"/>
      <c r="O114" s="1309"/>
      <c r="P114" s="1309"/>
      <c r="Q114" s="1309"/>
      <c r="R114" s="1309"/>
      <c r="S114" s="1310"/>
      <c r="T114" s="1310"/>
      <c r="U114" s="1310"/>
      <c r="V114" s="1310"/>
      <c r="W114" s="1311"/>
      <c r="X114" s="1268"/>
      <c r="Y114" s="1268"/>
      <c r="Z114" s="1268"/>
      <c r="AA114" s="1268"/>
      <c r="AB114" s="1268"/>
      <c r="AC114" s="1268"/>
      <c r="AD114" s="1268"/>
      <c r="AE114" s="1268"/>
      <c r="AF114" s="1268"/>
      <c r="AG114" s="1268"/>
      <c r="AH114" s="1268"/>
      <c r="AI114" s="1268"/>
      <c r="AJ114" s="1268"/>
      <c r="AK114" s="1268"/>
      <c r="AL114" s="1268"/>
      <c r="AM114" s="1268"/>
      <c r="AN114" s="1268"/>
      <c r="AO114" s="1268"/>
      <c r="AP114" s="1268"/>
      <c r="AQ114" s="1268"/>
      <c r="AR114" s="1476">
        <v>0</v>
      </c>
    </row>
    <row s="1859" customFormat="1" customHeight="1" ht="17.25">
      <c r="A115" s="330"/>
      <c r="C115" s="218"/>
      <c r="D115" s="2163">
        <v>3</v>
      </c>
      <c r="E115" s="2171" t="s">
        <v>274</v>
      </c>
      <c r="F115" s="2173" t="s">
        <v>19</v>
      </c>
      <c r="G115" s="2171"/>
      <c r="H115" s="2176"/>
      <c r="I115" s="2178"/>
      <c r="J115" s="2180"/>
      <c r="K115" s="2165"/>
      <c r="L115" s="2165"/>
      <c r="M115" s="2165"/>
      <c r="N115" s="2167"/>
      <c r="O115" s="2165"/>
      <c r="P115" s="2165"/>
      <c r="Q115" s="2165"/>
      <c r="R115" s="2170"/>
      <c r="S115" s="2165"/>
      <c r="T115" s="1949"/>
      <c r="U115" s="1949"/>
      <c r="V115" s="1951"/>
      <c r="W115" s="1305"/>
      <c r="X115" s="1276"/>
      <c r="Y115" s="1276"/>
      <c r="Z115" s="1276"/>
      <c r="AA115" s="1276"/>
      <c r="AB115" s="1276"/>
      <c r="AC115" s="1276" t="s">
        <v>275</v>
      </c>
      <c r="AD115" s="1276" t="s">
        <v>276</v>
      </c>
      <c r="AE115" s="1276" t="s">
        <v>277</v>
      </c>
      <c r="AF115" s="1276" t="s">
        <v>278</v>
      </c>
      <c r="AG115" s="1276"/>
      <c r="AH115" s="1276" t="str">
        <f>IF($E$115=0,"",$E$115)</f>
        <v>Тариф на подключение (технологическое присоединение) к централизованной системе горячего водоснабжения</v>
      </c>
      <c r="AI115" s="1276" t="str">
        <f>IF($G$115=0,"",$G$115)</f>
        <v/>
      </c>
      <c r="AJ115" s="1276" t="str">
        <f>IF($J$115=0,"",$J$115)</f>
        <v/>
      </c>
      <c r="AK115" s="1276" t="str">
        <f>IF($K$115="нет","без дифференциации",IF($N$115=0,"",$N$115))</f>
        <v/>
      </c>
      <c r="AL115" s="1276" t="str">
        <f>IF($O$115="нет","без дифференциации",IF($R$115=0,"",$R$115))</f>
        <v/>
      </c>
      <c r="AM115" s="1276" t="str">
        <f>IF($S$115="нет","без дифференциации",IF($V$115=0,"",$V$115))</f>
        <v/>
      </c>
      <c r="AN115" s="1780">
        <f>$I$115</f>
        <v>0</v>
      </c>
      <c r="AO115" s="1276" t="str">
        <f>$I$115&amp;"."&amp;$M$115</f>
        <v>.</v>
      </c>
      <c r="AP115" s="1275" t="str">
        <f>$I$115&amp;"."&amp;$M$115&amp;"."&amp;$Q$115</f>
        <v>..</v>
      </c>
      <c r="AQ115" s="1275" t="str">
        <f>$I$115&amp;"."&amp;$M$115&amp;"."&amp;$Q$115&amp;"."&amp;$U$115</f>
        <v>...</v>
      </c>
      <c r="AR115" s="1476">
        <v>0</v>
      </c>
    </row>
    <row s="1859" customFormat="1" customHeight="1" ht="17.25">
      <c r="A116" s="330"/>
      <c r="C116" s="329"/>
      <c r="D116" s="2163"/>
      <c r="E116" s="2171"/>
      <c r="F116" s="2174"/>
      <c r="G116" s="2171"/>
      <c r="H116" s="2177"/>
      <c r="I116" s="2179"/>
      <c r="J116" s="2181"/>
      <c r="K116" s="2166"/>
      <c r="L116" s="2166"/>
      <c r="M116" s="2166"/>
      <c r="N116" s="2168"/>
      <c r="O116" s="2166"/>
      <c r="P116" s="2166"/>
      <c r="Q116" s="2166"/>
      <c r="R116" s="2169"/>
      <c r="S116" s="2166"/>
      <c r="T116" s="1954"/>
      <c r="U116" s="1954"/>
      <c r="V116" s="1954"/>
      <c r="W116" s="1955"/>
      <c r="X116" s="1275"/>
      <c r="Y116" s="1275"/>
      <c r="Z116" s="1275"/>
      <c r="AA116" s="1275"/>
      <c r="AB116" s="1275"/>
      <c r="AC116" s="1275"/>
      <c r="AD116" s="1275"/>
      <c r="AE116" s="1275"/>
      <c r="AF116" s="1275"/>
      <c r="AG116" s="1275"/>
      <c r="AH116" s="1275"/>
      <c r="AI116" s="1275"/>
      <c r="AJ116" s="1275"/>
      <c r="AK116" s="1275"/>
      <c r="AL116" s="1275"/>
      <c r="AM116" s="1275"/>
      <c r="AN116" s="1275"/>
      <c r="AO116" s="1275"/>
      <c r="AP116" s="1275"/>
      <c r="AQ116" s="1275"/>
      <c r="AR116" s="1476">
        <v>0</v>
      </c>
    </row>
    <row s="1859" customFormat="1" customHeight="1" ht="17.25">
      <c r="A117" s="330"/>
      <c r="C117" s="329"/>
      <c r="D117" s="2164"/>
      <c r="E117" s="2172"/>
      <c r="F117" s="2174"/>
      <c r="G117" s="2172"/>
      <c r="H117" s="2177"/>
      <c r="I117" s="2179"/>
      <c r="J117" s="2182"/>
      <c r="K117" s="2166"/>
      <c r="L117" s="2166"/>
      <c r="M117" s="2166"/>
      <c r="N117" s="2169"/>
      <c r="O117" s="2166"/>
      <c r="P117" s="1950"/>
      <c r="Q117" s="1954"/>
      <c r="R117" s="1954"/>
      <c r="S117" s="338"/>
      <c r="T117" s="338"/>
      <c r="U117" s="338"/>
      <c r="V117" s="338"/>
      <c r="W117" s="1955"/>
      <c r="X117" s="1275"/>
      <c r="Y117" s="1275"/>
      <c r="Z117" s="1275"/>
      <c r="AA117" s="1275"/>
      <c r="AB117" s="1275"/>
      <c r="AC117" s="1275"/>
      <c r="AD117" s="1275"/>
      <c r="AE117" s="1275"/>
      <c r="AF117" s="1275"/>
      <c r="AG117" s="1275"/>
      <c r="AH117" s="1275"/>
      <c r="AI117" s="1275"/>
      <c r="AJ117" s="1275"/>
      <c r="AK117" s="1275"/>
      <c r="AL117" s="1275"/>
      <c r="AM117" s="1275"/>
      <c r="AN117" s="1275"/>
      <c r="AO117" s="1275"/>
      <c r="AP117" s="1275"/>
      <c r="AQ117" s="1275"/>
      <c r="AR117" s="1476">
        <v>0</v>
      </c>
    </row>
    <row s="1859" customFormat="1" customHeight="1" ht="17.25">
      <c r="A118" s="330"/>
      <c r="C118" s="329"/>
      <c r="D118" s="2164"/>
      <c r="E118" s="2172"/>
      <c r="F118" s="2174"/>
      <c r="G118" s="2172"/>
      <c r="H118" s="2177"/>
      <c r="I118" s="2179"/>
      <c r="J118" s="2182"/>
      <c r="K118" s="2166"/>
      <c r="L118" s="1954"/>
      <c r="M118" s="1954"/>
      <c r="N118" s="1954"/>
      <c r="O118" s="1954"/>
      <c r="P118" s="1954"/>
      <c r="Q118" s="1954"/>
      <c r="R118" s="1954"/>
      <c r="S118" s="338"/>
      <c r="T118" s="338"/>
      <c r="U118" s="338"/>
      <c r="V118" s="338"/>
      <c r="W118" s="1955"/>
      <c r="X118" s="1275"/>
      <c r="Y118" s="1275"/>
      <c r="Z118" s="1275"/>
      <c r="AA118" s="1275"/>
      <c r="AB118" s="1275"/>
      <c r="AC118" s="1275"/>
      <c r="AD118" s="1275"/>
      <c r="AE118" s="1275"/>
      <c r="AF118" s="1275"/>
      <c r="AG118" s="1275"/>
      <c r="AH118" s="1275"/>
      <c r="AI118" s="1275"/>
      <c r="AJ118" s="1275"/>
      <c r="AK118" s="1275"/>
      <c r="AL118" s="1275"/>
      <c r="AM118" s="1275"/>
      <c r="AN118" s="1275"/>
      <c r="AO118" s="1275"/>
      <c r="AP118" s="1275"/>
      <c r="AQ118" s="1275"/>
      <c r="AR118" s="1476">
        <v>0</v>
      </c>
    </row>
    <row s="1859" customFormat="1" customHeight="1" ht="17.25">
      <c r="A119" s="330"/>
      <c r="C119" s="329"/>
      <c r="D119" s="2164"/>
      <c r="E119" s="2172"/>
      <c r="F119" s="2175"/>
      <c r="G119" s="2172"/>
      <c r="H119" s="1308"/>
      <c r="I119" s="1952"/>
      <c r="J119" s="1952"/>
      <c r="K119" s="1952"/>
      <c r="L119" s="1952"/>
      <c r="M119" s="1952"/>
      <c r="N119" s="1952"/>
      <c r="O119" s="1952"/>
      <c r="P119" s="1952"/>
      <c r="Q119" s="1952"/>
      <c r="R119" s="1952"/>
      <c r="S119" s="1310"/>
      <c r="T119" s="1310"/>
      <c r="U119" s="1310"/>
      <c r="V119" s="1310"/>
      <c r="W119" s="1953"/>
      <c r="X119" s="1275"/>
      <c r="Y119" s="1275"/>
      <c r="Z119" s="1275"/>
      <c r="AA119" s="1275"/>
      <c r="AB119" s="1275"/>
      <c r="AC119" s="1275"/>
      <c r="AD119" s="1275"/>
      <c r="AE119" s="1275"/>
      <c r="AF119" s="1275"/>
      <c r="AG119" s="1275"/>
      <c r="AH119" s="1275"/>
      <c r="AI119" s="1275"/>
      <c r="AJ119" s="1275"/>
      <c r="AK119" s="1275"/>
      <c r="AL119" s="1275"/>
      <c r="AM119" s="1275"/>
      <c r="AN119" s="1275"/>
      <c r="AO119" s="1275"/>
      <c r="AP119" s="1275"/>
      <c r="AQ119" s="1275"/>
      <c r="AR119" s="1476">
        <v>0</v>
      </c>
    </row>
    <row s="1859" customFormat="1" customHeight="1" ht="11.25">
      <c r="A120" s="286"/>
      <c r="B120" s="286"/>
      <c r="Y120" s="1268"/>
      <c r="Z120" s="1268"/>
      <c r="AA120" s="1268"/>
      <c r="AB120" s="1268"/>
      <c r="AC120" s="1268"/>
      <c r="AD120" s="1268"/>
      <c r="AE120" s="1268"/>
      <c r="AF120" s="1268"/>
      <c r="AG120" s="1268"/>
      <c r="AH120" s="1268"/>
      <c r="AI120" s="1268"/>
      <c r="AJ120" s="1268"/>
      <c r="AK120" s="1268"/>
      <c r="AL120" s="1268"/>
      <c r="AM120" s="1268"/>
      <c r="AN120" s="1268"/>
      <c r="AO120" s="1268"/>
      <c r="AP120" s="1268"/>
      <c r="AQ120" s="1268"/>
      <c r="AR120" s="1476">
        <v>0</v>
      </c>
    </row>
    <row s="1859" customFormat="1" customHeight="1" ht="17.25">
      <c r="A121" s="330"/>
      <c r="C121" s="218"/>
      <c r="D121" s="2163">
        <v>1</v>
      </c>
      <c r="E121" s="2171" t="s">
        <v>279</v>
      </c>
      <c r="F121" s="2173" t="s">
        <v>19</v>
      </c>
      <c r="G121" s="2171"/>
      <c r="H121" s="2176"/>
      <c r="I121" s="2178"/>
      <c r="J121" s="2180"/>
      <c r="K121" s="2165"/>
      <c r="L121" s="2165"/>
      <c r="M121" s="2165"/>
      <c r="N121" s="2167"/>
      <c r="O121" s="2165"/>
      <c r="P121" s="2165"/>
      <c r="Q121" s="2165"/>
      <c r="R121" s="2170"/>
      <c r="S121" s="2165"/>
      <c r="T121" s="1479"/>
      <c r="U121" s="1479"/>
      <c r="V121" s="1481"/>
      <c r="W121" s="1305"/>
      <c r="Y121" s="1276"/>
      <c r="Z121" s="1276"/>
      <c r="AA121" s="1276"/>
      <c r="AB121" s="1276"/>
      <c r="AC121" s="1276" t="s">
        <v>280</v>
      </c>
      <c r="AD121" s="1276" t="s">
        <v>281</v>
      </c>
      <c r="AE121" s="1276" t="s">
        <v>282</v>
      </c>
      <c r="AF121" s="1276" t="s">
        <v>283</v>
      </c>
      <c r="AG121" s="1276"/>
      <c r="AH121" s="1276" t="str">
        <f>IF($E$121=0,"",$E$121)</f>
        <v>Тариф на водоотведение</v>
      </c>
      <c r="AI121" s="1276" t="str">
        <f>IF($G$121=0,"",$G$121)</f>
        <v/>
      </c>
      <c r="AJ121" s="1276" t="str">
        <f>IF($J$121=0,"",$J$121)</f>
        <v/>
      </c>
      <c r="AK121" s="1276" t="str">
        <f>IF($K$121="нет","без дифференциации",IF($N$121=0,"",$N$121))</f>
        <v/>
      </c>
      <c r="AL121" s="1276" t="str">
        <f>IF($O$121="нет","без дифференциации",IF($R$121=0,"",$R$121))</f>
        <v/>
      </c>
      <c r="AM121" s="1276" t="str">
        <f>IF($S$121="нет","без дифференциации",IF($V$121=0,"",$V$121))</f>
        <v/>
      </c>
      <c r="AN121" s="1276">
        <f>$I$121</f>
        <v>0</v>
      </c>
      <c r="AO121" s="1276" t="str">
        <f>$I$121&amp;"."&amp;$M$121</f>
        <v>.</v>
      </c>
      <c r="AP121" s="1276" t="str">
        <f>$I$121&amp;"."&amp;$M$121&amp;"."&amp;$Q$121</f>
        <v>..</v>
      </c>
      <c r="AQ121" s="1276" t="str">
        <f>$I$121&amp;"."&amp;$M$121&amp;"."&amp;$Q$121&amp;"."&amp;$U$121</f>
        <v>...</v>
      </c>
      <c r="AR121" s="1476">
        <v>0</v>
      </c>
    </row>
    <row s="1859" customFormat="1" customHeight="1" ht="17.25">
      <c r="A122" s="330"/>
      <c r="C122" s="329"/>
      <c r="D122" s="2163"/>
      <c r="E122" s="2171"/>
      <c r="F122" s="2174"/>
      <c r="G122" s="2171"/>
      <c r="H122" s="2177"/>
      <c r="I122" s="2179"/>
      <c r="J122" s="2181"/>
      <c r="K122" s="2166"/>
      <c r="L122" s="2166"/>
      <c r="M122" s="2166"/>
      <c r="N122" s="2168"/>
      <c r="O122" s="2166"/>
      <c r="P122" s="2166"/>
      <c r="Q122" s="2166"/>
      <c r="R122" s="2169"/>
      <c r="S122" s="2166"/>
      <c r="T122" s="1306"/>
      <c r="U122" s="1306"/>
      <c r="V122" s="1306"/>
      <c r="W122" s="1307"/>
      <c r="Y122" s="1268"/>
      <c r="Z122" s="1268"/>
      <c r="AA122" s="1268"/>
      <c r="AB122" s="1268"/>
      <c r="AC122" s="1268"/>
      <c r="AD122" s="1268"/>
      <c r="AE122" s="1268"/>
      <c r="AF122" s="1268"/>
      <c r="AG122" s="1268"/>
      <c r="AH122" s="1268"/>
      <c r="AI122" s="1268"/>
      <c r="AJ122" s="1268"/>
      <c r="AK122" s="1268"/>
      <c r="AL122" s="1268"/>
      <c r="AM122" s="1268"/>
      <c r="AN122" s="1268"/>
      <c r="AO122" s="1268"/>
      <c r="AP122" s="1268"/>
      <c r="AQ122" s="1268"/>
      <c r="AR122" s="1476">
        <v>0</v>
      </c>
    </row>
    <row s="1859" customFormat="1" customHeight="1" ht="17.25">
      <c r="A123" s="330"/>
      <c r="C123" s="218"/>
      <c r="D123" s="2163"/>
      <c r="E123" s="2171"/>
      <c r="F123" s="2174"/>
      <c r="G123" s="2171"/>
      <c r="H123" s="2177"/>
      <c r="I123" s="2179"/>
      <c r="J123" s="2182"/>
      <c r="K123" s="2166"/>
      <c r="L123" s="2166"/>
      <c r="M123" s="2166"/>
      <c r="N123" s="2169"/>
      <c r="O123" s="2166"/>
      <c r="P123" s="1480"/>
      <c r="Q123" s="1306"/>
      <c r="R123" s="1306"/>
      <c r="S123" s="338"/>
      <c r="T123" s="338"/>
      <c r="U123" s="338"/>
      <c r="V123" s="338"/>
      <c r="W123" s="1307"/>
      <c r="Y123" s="1276"/>
      <c r="Z123" s="1276"/>
      <c r="AA123" s="1276"/>
      <c r="AB123" s="1276"/>
      <c r="AC123" s="1276"/>
      <c r="AD123" s="1276"/>
      <c r="AE123" s="1276"/>
      <c r="AF123" s="1276"/>
      <c r="AG123" s="1276"/>
      <c r="AH123" s="1276"/>
      <c r="AI123" s="1276"/>
      <c r="AJ123" s="1276"/>
      <c r="AK123" s="1276"/>
      <c r="AL123" s="1276"/>
      <c r="AM123" s="1276"/>
      <c r="AN123" s="1276"/>
      <c r="AO123" s="1276"/>
      <c r="AP123" s="1276"/>
      <c r="AQ123" s="1276"/>
      <c r="AR123" s="1476">
        <v>0</v>
      </c>
    </row>
    <row s="1859" customFormat="1" customHeight="1" ht="17.25">
      <c r="A124" s="330"/>
      <c r="C124" s="329"/>
      <c r="D124" s="2163"/>
      <c r="E124" s="2171"/>
      <c r="F124" s="2174"/>
      <c r="G124" s="2171"/>
      <c r="H124" s="2177"/>
      <c r="I124" s="2179"/>
      <c r="J124" s="2182"/>
      <c r="K124" s="2166"/>
      <c r="L124" s="1306"/>
      <c r="M124" s="1306"/>
      <c r="N124" s="1306"/>
      <c r="O124" s="1306"/>
      <c r="P124" s="1306"/>
      <c r="Q124" s="1306"/>
      <c r="R124" s="1306"/>
      <c r="S124" s="338"/>
      <c r="T124" s="338"/>
      <c r="U124" s="338"/>
      <c r="V124" s="338"/>
      <c r="W124" s="1307"/>
      <c r="Y124" s="1268"/>
      <c r="Z124" s="1268"/>
      <c r="AA124" s="1268"/>
      <c r="AB124" s="1268"/>
      <c r="AC124" s="1268"/>
      <c r="AD124" s="1268"/>
      <c r="AE124" s="1268"/>
      <c r="AF124" s="1268"/>
      <c r="AG124" s="1268"/>
      <c r="AH124" s="1268"/>
      <c r="AI124" s="1268"/>
      <c r="AJ124" s="1268"/>
      <c r="AK124" s="1268"/>
      <c r="AL124" s="1268"/>
      <c r="AM124" s="1268"/>
      <c r="AN124" s="1268"/>
      <c r="AO124" s="1268"/>
      <c r="AP124" s="1268"/>
      <c r="AQ124" s="1268"/>
      <c r="AR124" s="1476">
        <v>0</v>
      </c>
    </row>
    <row s="1859" customFormat="1" customHeight="1" ht="17.25">
      <c r="A125" s="330"/>
      <c r="C125" s="329"/>
      <c r="D125" s="2164"/>
      <c r="E125" s="2172"/>
      <c r="F125" s="2175"/>
      <c r="G125" s="2172"/>
      <c r="H125" s="1308"/>
      <c r="I125" s="1309"/>
      <c r="J125" s="1309"/>
      <c r="K125" s="1309"/>
      <c r="L125" s="1309"/>
      <c r="M125" s="1309"/>
      <c r="N125" s="1309"/>
      <c r="O125" s="1309"/>
      <c r="P125" s="1309"/>
      <c r="Q125" s="1309"/>
      <c r="R125" s="1309"/>
      <c r="S125" s="1310"/>
      <c r="T125" s="1310"/>
      <c r="U125" s="1310"/>
      <c r="V125" s="1310"/>
      <c r="W125" s="1311"/>
      <c r="Y125" s="1268"/>
      <c r="Z125" s="1268"/>
      <c r="AA125" s="1268"/>
      <c r="AB125" s="1268"/>
      <c r="AC125" s="1268"/>
      <c r="AD125" s="1268"/>
      <c r="AE125" s="1268"/>
      <c r="AF125" s="1268"/>
      <c r="AG125" s="1268"/>
      <c r="AH125" s="1268"/>
      <c r="AI125" s="1268"/>
      <c r="AJ125" s="1268"/>
      <c r="AK125" s="1268"/>
      <c r="AL125" s="1268"/>
      <c r="AM125" s="1268"/>
      <c r="AN125" s="1268"/>
      <c r="AO125" s="1268"/>
      <c r="AP125" s="1268"/>
      <c r="AQ125" s="1268"/>
      <c r="AR125" s="1476">
        <v>0</v>
      </c>
    </row>
    <row s="1859" customFormat="1" customHeight="1" ht="17.25">
      <c r="A126" s="330"/>
      <c r="C126" s="218"/>
      <c r="D126" s="2163">
        <v>2</v>
      </c>
      <c r="E126" s="2171" t="s">
        <v>284</v>
      </c>
      <c r="F126" s="2173" t="s">
        <v>19</v>
      </c>
      <c r="G126" s="2171"/>
      <c r="H126" s="2176"/>
      <c r="I126" s="2178"/>
      <c r="J126" s="2180"/>
      <c r="K126" s="2165"/>
      <c r="L126" s="2165"/>
      <c r="M126" s="2165"/>
      <c r="N126" s="2167"/>
      <c r="O126" s="2165"/>
      <c r="P126" s="2165"/>
      <c r="Q126" s="2165"/>
      <c r="R126" s="2170"/>
      <c r="S126" s="2165"/>
      <c r="T126" s="1479"/>
      <c r="U126" s="1479"/>
      <c r="V126" s="1481"/>
      <c r="W126" s="1305"/>
      <c r="X126" s="1276"/>
      <c r="Y126" s="1276"/>
      <c r="Z126" s="1276"/>
      <c r="AA126" s="1276"/>
      <c r="AB126" s="1276"/>
      <c r="AC126" s="1276" t="s">
        <v>285</v>
      </c>
      <c r="AD126" s="1276" t="s">
        <v>286</v>
      </c>
      <c r="AE126" s="1276" t="s">
        <v>287</v>
      </c>
      <c r="AF126" s="1276" t="s">
        <v>288</v>
      </c>
      <c r="AG126" s="1276"/>
      <c r="AH126" s="1276" t="str">
        <f>IF($E$126=0,"",$E$126)</f>
        <v>Тариф на транспортировку сточных вод</v>
      </c>
      <c r="AI126" s="1276" t="str">
        <f>IF($G$126=0,"",$G$126)</f>
        <v/>
      </c>
      <c r="AJ126" s="1276" t="str">
        <f>IF($J$126=0,"",$J$126)</f>
        <v/>
      </c>
      <c r="AK126" s="1276" t="str">
        <f>IF($K$126="нет","без дифференциации",IF($N$126=0,"",$N$126))</f>
        <v/>
      </c>
      <c r="AL126" s="1276" t="str">
        <f>IF($O$126="нет","без дифференциации",IF($R$126=0,"",$R$126))</f>
        <v/>
      </c>
      <c r="AM126" s="1276" t="str">
        <f>IF($S$126="нет","без дифференциации",IF($V$126=0,"",$V$126))</f>
        <v/>
      </c>
      <c r="AN126" s="1780">
        <f>$I$126</f>
        <v>0</v>
      </c>
      <c r="AO126" s="1276" t="str">
        <f>$I$126&amp;"."&amp;$M$126</f>
        <v>.</v>
      </c>
      <c r="AP126" s="1268" t="str">
        <f>$I$126&amp;"."&amp;$M$126&amp;"."&amp;$Q$126</f>
        <v>..</v>
      </c>
      <c r="AQ126" s="1268" t="str">
        <f>$I$126&amp;"."&amp;$M$126&amp;"."&amp;$Q$126&amp;"."&amp;$U$126</f>
        <v>...</v>
      </c>
      <c r="AR126" s="1476">
        <v>0</v>
      </c>
    </row>
    <row s="1859" customFormat="1" customHeight="1" ht="17.25">
      <c r="A127" s="330"/>
      <c r="C127" s="329"/>
      <c r="D127" s="2163"/>
      <c r="E127" s="2171"/>
      <c r="F127" s="2174"/>
      <c r="G127" s="2171"/>
      <c r="H127" s="2177"/>
      <c r="I127" s="2179"/>
      <c r="J127" s="2181"/>
      <c r="K127" s="2166"/>
      <c r="L127" s="2166"/>
      <c r="M127" s="2166"/>
      <c r="N127" s="2168"/>
      <c r="O127" s="2166"/>
      <c r="P127" s="2166"/>
      <c r="Q127" s="2166"/>
      <c r="R127" s="2169"/>
      <c r="S127" s="2166"/>
      <c r="T127" s="1306"/>
      <c r="U127" s="1306"/>
      <c r="V127" s="1306"/>
      <c r="W127" s="1307"/>
      <c r="X127" s="1268"/>
      <c r="Y127" s="1268"/>
      <c r="Z127" s="1268"/>
      <c r="AA127" s="1268"/>
      <c r="AB127" s="1268"/>
      <c r="AC127" s="1268"/>
      <c r="AD127" s="1268"/>
      <c r="AE127" s="1268"/>
      <c r="AF127" s="1268"/>
      <c r="AG127" s="1268"/>
      <c r="AH127" s="1268"/>
      <c r="AI127" s="1268"/>
      <c r="AJ127" s="1268"/>
      <c r="AK127" s="1268"/>
      <c r="AL127" s="1268"/>
      <c r="AM127" s="1268"/>
      <c r="AN127" s="1268"/>
      <c r="AO127" s="1268"/>
      <c r="AP127" s="1268"/>
      <c r="AQ127" s="1268"/>
      <c r="AR127" s="1476">
        <v>0</v>
      </c>
    </row>
    <row s="1859" customFormat="1" customHeight="1" ht="17.25">
      <c r="A128" s="330"/>
      <c r="C128" s="329"/>
      <c r="D128" s="2164"/>
      <c r="E128" s="2172"/>
      <c r="F128" s="2174"/>
      <c r="G128" s="2172"/>
      <c r="H128" s="2177"/>
      <c r="I128" s="2179"/>
      <c r="J128" s="2182"/>
      <c r="K128" s="2166"/>
      <c r="L128" s="2166"/>
      <c r="M128" s="2166"/>
      <c r="N128" s="2169"/>
      <c r="O128" s="2166"/>
      <c r="P128" s="1480"/>
      <c r="Q128" s="1306"/>
      <c r="R128" s="1306"/>
      <c r="S128" s="338"/>
      <c r="T128" s="338"/>
      <c r="U128" s="338"/>
      <c r="V128" s="338"/>
      <c r="W128" s="1307"/>
      <c r="X128" s="1268"/>
      <c r="Y128" s="1268"/>
      <c r="Z128" s="1268"/>
      <c r="AA128" s="1268"/>
      <c r="AB128" s="1268"/>
      <c r="AC128" s="1268"/>
      <c r="AD128" s="1268"/>
      <c r="AE128" s="1268"/>
      <c r="AF128" s="1268"/>
      <c r="AG128" s="1268"/>
      <c r="AH128" s="1268"/>
      <c r="AI128" s="1268"/>
      <c r="AJ128" s="1268"/>
      <c r="AK128" s="1268"/>
      <c r="AL128" s="1268"/>
      <c r="AM128" s="1268"/>
      <c r="AN128" s="1268"/>
      <c r="AO128" s="1268"/>
      <c r="AP128" s="1268"/>
      <c r="AQ128" s="1268"/>
      <c r="AR128" s="1476">
        <v>0</v>
      </c>
    </row>
    <row s="1859" customFormat="1" customHeight="1" ht="17.25">
      <c r="A129" s="330"/>
      <c r="C129" s="329"/>
      <c r="D129" s="2164"/>
      <c r="E129" s="2172"/>
      <c r="F129" s="2174"/>
      <c r="G129" s="2172"/>
      <c r="H129" s="2177"/>
      <c r="I129" s="2179"/>
      <c r="J129" s="2182"/>
      <c r="K129" s="2166"/>
      <c r="L129" s="1306"/>
      <c r="M129" s="1306"/>
      <c r="N129" s="1306"/>
      <c r="O129" s="1306"/>
      <c r="P129" s="1306"/>
      <c r="Q129" s="1306"/>
      <c r="R129" s="1306"/>
      <c r="S129" s="338"/>
      <c r="T129" s="338"/>
      <c r="U129" s="338"/>
      <c r="V129" s="338"/>
      <c r="W129" s="1307"/>
      <c r="X129" s="1268"/>
      <c r="Y129" s="1268"/>
      <c r="Z129" s="1268"/>
      <c r="AA129" s="1268"/>
      <c r="AB129" s="1268"/>
      <c r="AC129" s="1268"/>
      <c r="AD129" s="1268"/>
      <c r="AE129" s="1268"/>
      <c r="AF129" s="1268"/>
      <c r="AG129" s="1268"/>
      <c r="AH129" s="1268"/>
      <c r="AI129" s="1268"/>
      <c r="AJ129" s="1268"/>
      <c r="AK129" s="1268"/>
      <c r="AL129" s="1268"/>
      <c r="AM129" s="1268"/>
      <c r="AN129" s="1268"/>
      <c r="AO129" s="1268"/>
      <c r="AP129" s="1268"/>
      <c r="AQ129" s="1268"/>
      <c r="AR129" s="1476">
        <v>0</v>
      </c>
    </row>
    <row s="1859" customFormat="1" customHeight="1" ht="17.25">
      <c r="A130" s="330"/>
      <c r="C130" s="329"/>
      <c r="D130" s="2164"/>
      <c r="E130" s="2172"/>
      <c r="F130" s="2175"/>
      <c r="G130" s="2172"/>
      <c r="H130" s="1308"/>
      <c r="I130" s="1309"/>
      <c r="J130" s="1309"/>
      <c r="K130" s="1309"/>
      <c r="L130" s="1309"/>
      <c r="M130" s="1309"/>
      <c r="N130" s="1309"/>
      <c r="O130" s="1309"/>
      <c r="P130" s="1309"/>
      <c r="Q130" s="1309"/>
      <c r="R130" s="1309"/>
      <c r="S130" s="1310"/>
      <c r="T130" s="1310"/>
      <c r="U130" s="1310"/>
      <c r="V130" s="1310"/>
      <c r="W130" s="1311"/>
      <c r="X130" s="1268"/>
      <c r="Y130" s="1268"/>
      <c r="Z130" s="1268"/>
      <c r="AA130" s="1268"/>
      <c r="AB130" s="1268"/>
      <c r="AC130" s="1268"/>
      <c r="AD130" s="1268"/>
      <c r="AE130" s="1268"/>
      <c r="AF130" s="1268"/>
      <c r="AG130" s="1268"/>
      <c r="AH130" s="1268"/>
      <c r="AI130" s="1268"/>
      <c r="AJ130" s="1268"/>
      <c r="AK130" s="1268"/>
      <c r="AL130" s="1268"/>
      <c r="AM130" s="1268"/>
      <c r="AN130" s="1268"/>
      <c r="AO130" s="1268"/>
      <c r="AP130" s="1268"/>
      <c r="AQ130" s="1268"/>
      <c r="AR130" s="1476">
        <v>0</v>
      </c>
    </row>
    <row s="1859" customFormat="1" customHeight="1" ht="17.25">
      <c r="A131" s="330"/>
      <c r="C131" s="218"/>
      <c r="D131" s="2163">
        <v>3</v>
      </c>
      <c r="E131" s="2171" t="s">
        <v>289</v>
      </c>
      <c r="F131" s="2173" t="s">
        <v>19</v>
      </c>
      <c r="G131" s="2171"/>
      <c r="H131" s="2176"/>
      <c r="I131" s="2178"/>
      <c r="J131" s="2180"/>
      <c r="K131" s="2165"/>
      <c r="L131" s="2165"/>
      <c r="M131" s="2165"/>
      <c r="N131" s="2167"/>
      <c r="O131" s="2165"/>
      <c r="P131" s="2165"/>
      <c r="Q131" s="2165"/>
      <c r="R131" s="2170"/>
      <c r="S131" s="2165"/>
      <c r="T131" s="1949"/>
      <c r="U131" s="1949"/>
      <c r="V131" s="1951"/>
      <c r="W131" s="1305"/>
      <c r="X131" s="1276"/>
      <c r="Y131" s="1276"/>
      <c r="Z131" s="1276"/>
      <c r="AA131" s="1276"/>
      <c r="AB131" s="1276"/>
      <c r="AC131" s="1276" t="s">
        <v>290</v>
      </c>
      <c r="AD131" s="1276" t="s">
        <v>291</v>
      </c>
      <c r="AE131" s="1276" t="s">
        <v>292</v>
      </c>
      <c r="AF131" s="1276" t="s">
        <v>293</v>
      </c>
      <c r="AG131" s="1276"/>
      <c r="AH131" s="1276" t="str">
        <f>IF($E$131=0,"",$E$131)</f>
        <v>Тариф на подключение (технологическое присоединение) к централизованной системе водоотведения</v>
      </c>
      <c r="AI131" s="1276" t="str">
        <f>IF($G$131=0,"",$G$131)</f>
        <v/>
      </c>
      <c r="AJ131" s="1276" t="str">
        <f>IF($J$131=0,"",$J$131)</f>
        <v/>
      </c>
      <c r="AK131" s="1276" t="str">
        <f>IF($K$131="нет","без дифференциации",IF($N$131=0,"",$N$131))</f>
        <v/>
      </c>
      <c r="AL131" s="1276" t="str">
        <f>IF($O$131="нет","без дифференциации",IF($R$131=0,"",$R$131))</f>
        <v/>
      </c>
      <c r="AM131" s="1276" t="str">
        <f>IF($S$131="нет","без дифференциации",IF($V$131=0,"",$V$131))</f>
        <v/>
      </c>
      <c r="AN131" s="1780">
        <f>$I$131</f>
        <v>0</v>
      </c>
      <c r="AO131" s="1276" t="str">
        <f>$I$131&amp;"."&amp;$M$131</f>
        <v>.</v>
      </c>
      <c r="AP131" s="1275" t="str">
        <f>$I$131&amp;"."&amp;$M$131&amp;"."&amp;$Q$131</f>
        <v>..</v>
      </c>
      <c r="AQ131" s="1275" t="str">
        <f>$I$131&amp;"."&amp;$M$131&amp;"."&amp;$Q$131&amp;"."&amp;$U$131</f>
        <v>...</v>
      </c>
      <c r="AR131" s="1476">
        <v>0</v>
      </c>
    </row>
    <row s="1859" customFormat="1" customHeight="1" ht="17.25">
      <c r="A132" s="330"/>
      <c r="C132" s="329"/>
      <c r="D132" s="2163"/>
      <c r="E132" s="2171"/>
      <c r="F132" s="2174"/>
      <c r="G132" s="2171"/>
      <c r="H132" s="2177"/>
      <c r="I132" s="2179"/>
      <c r="J132" s="2181"/>
      <c r="K132" s="2166"/>
      <c r="L132" s="2166"/>
      <c r="M132" s="2166"/>
      <c r="N132" s="2168"/>
      <c r="O132" s="2166"/>
      <c r="P132" s="2166"/>
      <c r="Q132" s="2166"/>
      <c r="R132" s="2169"/>
      <c r="S132" s="2166"/>
      <c r="T132" s="1954"/>
      <c r="U132" s="1954"/>
      <c r="V132" s="1954"/>
      <c r="W132" s="1955"/>
      <c r="X132" s="1275"/>
      <c r="Y132" s="1275"/>
      <c r="Z132" s="1275"/>
      <c r="AA132" s="1275"/>
      <c r="AB132" s="1275"/>
      <c r="AC132" s="1275"/>
      <c r="AD132" s="1275"/>
      <c r="AE132" s="1275"/>
      <c r="AF132" s="1275"/>
      <c r="AG132" s="1275"/>
      <c r="AH132" s="1275"/>
      <c r="AI132" s="1275"/>
      <c r="AJ132" s="1275"/>
      <c r="AK132" s="1275"/>
      <c r="AL132" s="1275"/>
      <c r="AM132" s="1275"/>
      <c r="AN132" s="1275"/>
      <c r="AO132" s="1275"/>
      <c r="AP132" s="1275"/>
      <c r="AQ132" s="1275"/>
      <c r="AR132" s="1476">
        <v>0</v>
      </c>
    </row>
    <row s="1859" customFormat="1" customHeight="1" ht="17.25">
      <c r="A133" s="330"/>
      <c r="C133" s="329"/>
      <c r="D133" s="2164"/>
      <c r="E133" s="2172"/>
      <c r="F133" s="2174"/>
      <c r="G133" s="2172"/>
      <c r="H133" s="2177"/>
      <c r="I133" s="2179"/>
      <c r="J133" s="2182"/>
      <c r="K133" s="2166"/>
      <c r="L133" s="2166"/>
      <c r="M133" s="2166"/>
      <c r="N133" s="2169"/>
      <c r="O133" s="2166"/>
      <c r="P133" s="1950"/>
      <c r="Q133" s="1954"/>
      <c r="R133" s="1954"/>
      <c r="S133" s="338"/>
      <c r="T133" s="338"/>
      <c r="U133" s="338"/>
      <c r="V133" s="338"/>
      <c r="W133" s="1955"/>
      <c r="X133" s="1275"/>
      <c r="Y133" s="1275"/>
      <c r="Z133" s="1275"/>
      <c r="AA133" s="1275"/>
      <c r="AB133" s="1275"/>
      <c r="AC133" s="1275"/>
      <c r="AD133" s="1275"/>
      <c r="AE133" s="1275"/>
      <c r="AF133" s="1275"/>
      <c r="AG133" s="1275"/>
      <c r="AH133" s="1275"/>
      <c r="AI133" s="1275"/>
      <c r="AJ133" s="1275"/>
      <c r="AK133" s="1275"/>
      <c r="AL133" s="1275"/>
      <c r="AM133" s="1275"/>
      <c r="AN133" s="1275"/>
      <c r="AO133" s="1275"/>
      <c r="AP133" s="1275"/>
      <c r="AQ133" s="1275"/>
      <c r="AR133" s="1476">
        <v>0</v>
      </c>
    </row>
    <row s="1859" customFormat="1" customHeight="1" ht="17.25">
      <c r="A134" s="330"/>
      <c r="C134" s="329"/>
      <c r="D134" s="2164"/>
      <c r="E134" s="2172"/>
      <c r="F134" s="2174"/>
      <c r="G134" s="2172"/>
      <c r="H134" s="2177"/>
      <c r="I134" s="2179"/>
      <c r="J134" s="2182"/>
      <c r="K134" s="2166"/>
      <c r="L134" s="1954"/>
      <c r="M134" s="1954"/>
      <c r="N134" s="1954"/>
      <c r="O134" s="1954"/>
      <c r="P134" s="1954"/>
      <c r="Q134" s="1954"/>
      <c r="R134" s="1954"/>
      <c r="S134" s="338"/>
      <c r="T134" s="338"/>
      <c r="U134" s="338"/>
      <c r="V134" s="338"/>
      <c r="W134" s="1955"/>
      <c r="X134" s="1275"/>
      <c r="Y134" s="1275"/>
      <c r="Z134" s="1275"/>
      <c r="AA134" s="1275"/>
      <c r="AB134" s="1275"/>
      <c r="AC134" s="1275"/>
      <c r="AD134" s="1275"/>
      <c r="AE134" s="1275"/>
      <c r="AF134" s="1275"/>
      <c r="AG134" s="1275"/>
      <c r="AH134" s="1275"/>
      <c r="AI134" s="1275"/>
      <c r="AJ134" s="1275"/>
      <c r="AK134" s="1275"/>
      <c r="AL134" s="1275"/>
      <c r="AM134" s="1275"/>
      <c r="AN134" s="1275"/>
      <c r="AO134" s="1275"/>
      <c r="AP134" s="1275"/>
      <c r="AQ134" s="1275"/>
      <c r="AR134" s="1476">
        <v>0</v>
      </c>
    </row>
    <row s="1859" customFormat="1" customHeight="1" ht="17.25">
      <c r="A135" s="330"/>
      <c r="C135" s="329"/>
      <c r="D135" s="2164"/>
      <c r="E135" s="2172"/>
      <c r="F135" s="2175"/>
      <c r="G135" s="2172"/>
      <c r="H135" s="1308"/>
      <c r="I135" s="1952"/>
      <c r="J135" s="1952"/>
      <c r="K135" s="1952"/>
      <c r="L135" s="1952"/>
      <c r="M135" s="1952"/>
      <c r="N135" s="1952"/>
      <c r="O135" s="1952"/>
      <c r="P135" s="1952"/>
      <c r="Q135" s="1952"/>
      <c r="R135" s="1952"/>
      <c r="S135" s="1310"/>
      <c r="T135" s="1310"/>
      <c r="U135" s="1310"/>
      <c r="V135" s="1310"/>
      <c r="W135" s="1953"/>
      <c r="X135" s="1275"/>
      <c r="Y135" s="1275"/>
      <c r="Z135" s="1275"/>
      <c r="AA135" s="1275"/>
      <c r="AB135" s="1275"/>
      <c r="AC135" s="1275"/>
      <c r="AD135" s="1275"/>
      <c r="AE135" s="1275"/>
      <c r="AF135" s="1275"/>
      <c r="AG135" s="1275"/>
      <c r="AH135" s="1275"/>
      <c r="AI135" s="1275"/>
      <c r="AJ135" s="1275"/>
      <c r="AK135" s="1275"/>
      <c r="AL135" s="1275"/>
      <c r="AM135" s="1275"/>
      <c r="AN135" s="1275"/>
      <c r="AO135" s="1275"/>
      <c r="AP135" s="1275"/>
      <c r="AQ135" s="1275"/>
      <c r="AR135" s="1476">
        <v>0</v>
      </c>
    </row>
    <row customHeight="1" ht="11.549999999999999">
      <c r="AR136" s="113">
        <v>11</v>
      </c>
    </row>
    <row customHeight="1" ht="11.549999999999999">
      <c r="AR137" s="113">
        <v>11</v>
      </c>
    </row>
    <row customHeight="1" ht="11.549999999999999">
      <c r="AR138" s="113">
        <v>11</v>
      </c>
    </row>
    <row customHeight="1" ht="11.549999999999999">
      <c r="E139" s="1359"/>
      <c r="AR139" s="113">
        <v>11</v>
      </c>
    </row>
    <row customHeight="1" ht="11.549999999999999">
      <c r="E140" s="1359"/>
      <c r="AR140" s="113">
        <v>11</v>
      </c>
    </row>
    <row customHeight="1" ht="11.549999999999999">
      <c r="E141" s="1359"/>
      <c r="AR141" s="113">
        <v>11</v>
      </c>
    </row>
    <row customHeight="1" ht="11.549999999999999">
      <c r="E142" s="1359"/>
      <c r="AR142" s="113">
        <v>11</v>
      </c>
    </row>
    <row customHeight="1" ht="11.549999999999999">
      <c r="E143" s="1359"/>
      <c r="AR143" s="113">
        <v>11</v>
      </c>
    </row>
    <row customHeight="1" ht="11.549999999999999">
      <c r="E144" s="1359"/>
      <c r="AR144" s="113">
        <v>11</v>
      </c>
    </row>
    <row customHeight="1" ht="11.549999999999999">
      <c r="E145" s="1359"/>
      <c r="AR145" s="113">
        <v>11</v>
      </c>
    </row>
    <row customHeight="1" ht="11.25" hidden="1">
      <c r="A146" s="162" t="s">
        <v>83</v>
      </c>
      <c r="B146" s="162">
        <v>0</v>
      </c>
      <c r="C146" s="113">
        <v>3</v>
      </c>
      <c r="D146" s="113">
        <v>6</v>
      </c>
      <c r="E146" s="113">
        <v>42</v>
      </c>
      <c r="F146" s="1292">
        <v>14</v>
      </c>
      <c r="G146" s="113">
        <v>42</v>
      </c>
      <c r="H146" s="113">
        <v>3</v>
      </c>
      <c r="I146" s="113">
        <v>5</v>
      </c>
      <c r="J146" s="113">
        <v>47</v>
      </c>
      <c r="K146" s="113">
        <v>3</v>
      </c>
      <c r="L146" s="113">
        <v>3</v>
      </c>
      <c r="M146" s="113">
        <v>5</v>
      </c>
      <c r="N146" s="113">
        <v>28</v>
      </c>
      <c r="O146" s="113">
        <v>3</v>
      </c>
      <c r="P146" s="113">
        <v>3</v>
      </c>
      <c r="Q146" s="113">
        <v>5</v>
      </c>
      <c r="R146" s="113">
        <v>34</v>
      </c>
      <c r="S146" s="291">
        <v>0</v>
      </c>
      <c r="T146" s="291">
        <v>0</v>
      </c>
      <c r="U146" s="291">
        <v>0</v>
      </c>
      <c r="V146" s="291">
        <v>0</v>
      </c>
      <c r="W146" s="113">
        <v>30</v>
      </c>
      <c r="X146" s="113">
        <v>3</v>
      </c>
      <c r="Y146" s="1268">
        <v>0</v>
      </c>
      <c r="Z146" s="1268">
        <v>0</v>
      </c>
      <c r="AA146" s="1268">
        <v>0</v>
      </c>
      <c r="AB146" s="1268">
        <v>0</v>
      </c>
      <c r="AC146" s="1268">
        <v>0</v>
      </c>
      <c r="AD146" s="1268">
        <v>0</v>
      </c>
      <c r="AE146" s="1268">
        <v>0</v>
      </c>
      <c r="AF146" s="1268">
        <v>0</v>
      </c>
      <c r="AG146" s="1268">
        <v>0</v>
      </c>
      <c r="AH146" s="1268">
        <v>0</v>
      </c>
      <c r="AI146" s="1268">
        <v>0</v>
      </c>
      <c r="AJ146" s="1268">
        <v>0</v>
      </c>
      <c r="AK146" s="1268">
        <v>0</v>
      </c>
      <c r="AL146" s="1268">
        <v>0</v>
      </c>
      <c r="AM146" s="1268">
        <v>0</v>
      </c>
      <c r="AN146" s="1268">
        <v>0</v>
      </c>
      <c r="AO146" s="1268">
        <v>0</v>
      </c>
      <c r="AP146" s="1268">
        <v>0</v>
      </c>
      <c r="AQ146" s="1268">
        <v>0</v>
      </c>
      <c r="AR146" s="113">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005FFE-E8A9-8A76-F5A7-0.E2CD8EFB}" mc:Ignorable="x14ac xr xr2 xr3">
  <sheetPr>
    <tabColor theme="2" tint="-0.1"/>
  </sheetPr>
  <dimension ref="A1:AB30"/>
  <sheetViews>
    <sheetView showGridLines="0" zoomScale="90" workbookViewId="0">
      <pane xSplit="8" ySplit="18" topLeftCell="O19" activePane="bottomRight" state="frozen"/>
      <selection pane="bottomLeft" activeCell="A19" sqref="A19"/>
      <selection pane="topRight" activeCell="I1" sqref="I1"/>
      <selection pane="bottomRight" activeCell="O8" sqref="O8"/>
    </sheetView>
  </sheetViews>
  <sheetFormatPr defaultColWidth="10.57421875" customHeight="1" defaultRowHeight="15"/>
  <cols>
    <col min="1" max="1" style="1641" width="9.140625" hidden="1" customWidth="1"/>
    <col min="2" max="2" style="1644" width="9.140625" hidden="1" customWidth="1"/>
    <col min="3" max="3" style="692" width="4.00390625" customWidth="1"/>
    <col min="4" max="4" style="1644" width="6.00390625" customWidth="1"/>
    <col min="5" max="5" style="1644" width="47.00390625" customWidth="1"/>
    <col min="6" max="6" style="1644" width="9.00390625" customWidth="1"/>
    <col min="7" max="7" style="1644" width="25.7109375" hidden="1" customWidth="1"/>
    <col min="8" max="8" style="1644" width="34.00390625" hidden="1" customWidth="1"/>
    <col min="9" max="9" style="1644" width="25.7109375" customWidth="1"/>
    <col min="10" max="10" style="1644" width="33.00390625" customWidth="1"/>
    <col min="11" max="11" style="1644" width="25.7109375" customWidth="1"/>
    <col min="12" max="12" style="1644" width="34.00390625" customWidth="1"/>
    <col min="13" max="13" style="1644" width="25.7109375" customWidth="1"/>
    <col min="14" max="14" style="1644" width="34.00390625" customWidth="1"/>
    <col min="15" max="15" style="1644" width="25.7109375" customWidth="1"/>
    <col min="16" max="16" style="1644" width="34.00390625" customWidth="1"/>
    <col min="17" max="17" style="1375" width="50.00390625" customWidth="1"/>
    <col min="18" max="26" style="1644" width="10.00390625" customWidth="1"/>
    <col min="27" max="27" style="684" width="10.00390625" customWidth="1"/>
    <col min="28" max="28" style="1644" width="10.57421875" hidden="1"/>
  </cols>
  <sheetData>
    <row s="1375" customFormat="1" customHeight="1" ht="22.5" hidden="1">
      <c r="C1" s="681"/>
      <c r="G1" s="426">
        <v>4</v>
      </c>
      <c r="I1" s="426">
        <v>4</v>
      </c>
      <c r="K1" s="1375">
        <v>4</v>
      </c>
      <c r="L1" s="1375"/>
      <c r="M1" s="1375">
        <v>4</v>
      </c>
      <c r="N1" s="1375"/>
      <c r="O1" s="1375">
        <v>4</v>
      </c>
      <c r="P1" s="1375"/>
      <c r="AA1" s="429"/>
      <c r="AB1" s="426" t="s">
        <v>14</v>
      </c>
    </row>
    <row s="1644" customFormat="1" customHeight="1" ht="15" hidden="1">
      <c r="A2" s="371"/>
      <c r="C2" s="185"/>
      <c r="D2" s="355"/>
      <c r="E2" s="682"/>
      <c r="F2" s="531"/>
      <c r="G2" s="625"/>
      <c r="H2" s="625"/>
      <c r="I2" s="625"/>
      <c r="J2" s="625"/>
      <c r="K2" s="625"/>
      <c r="L2" s="625"/>
      <c r="M2" s="625"/>
      <c r="N2" s="625"/>
      <c r="O2" s="625"/>
      <c r="P2" s="625"/>
      <c r="AA2" s="683"/>
      <c r="AB2" s="518">
        <v>0</v>
      </c>
    </row>
    <row s="1375" customFormat="1" customHeight="1" ht="15" hidden="1">
      <c r="C3" s="681"/>
      <c r="K3" s="1375"/>
      <c r="L3" s="1375"/>
      <c r="M3" s="1375"/>
      <c r="N3" s="1375"/>
      <c r="O3" s="1375"/>
      <c r="P3" s="1375"/>
      <c r="AA3" s="429"/>
      <c r="AB3" s="426">
        <v>0</v>
      </c>
    </row>
    <row customHeight="1" ht="15.75">
      <c r="C4" s="185"/>
      <c r="D4" s="518"/>
      <c r="E4" s="518"/>
      <c r="F4" s="518"/>
      <c r="G4" s="518"/>
      <c r="H4" s="518"/>
      <c r="I4" s="518"/>
      <c r="J4" s="518"/>
      <c r="K4" s="1644"/>
      <c r="L4" s="1644"/>
      <c r="M4" s="1644"/>
      <c r="N4" s="1644"/>
      <c r="O4" s="1644"/>
      <c r="P4" s="1644"/>
      <c r="AB4" s="514">
        <v>15</v>
      </c>
    </row>
    <row customHeight="1" ht="66">
      <c r="C5" s="185"/>
      <c r="D5" s="2265" t="s">
        <v>1467</v>
      </c>
      <c r="E5" s="2265"/>
      <c r="F5" s="2265"/>
      <c r="G5" s="2265"/>
      <c r="H5" s="2265"/>
      <c r="I5" s="2265"/>
      <c r="J5" s="2265"/>
      <c r="K5" s="2276"/>
      <c r="L5" s="2276"/>
      <c r="M5" s="2276"/>
      <c r="N5" s="2276"/>
      <c r="O5" s="2276"/>
      <c r="P5" s="2276"/>
      <c r="AB5" s="514">
        <v>63</v>
      </c>
    </row>
    <row customHeight="1" ht="15.75">
      <c r="C6" s="185"/>
      <c r="D6" s="2204" t="str">
        <f>IF(org=0,"Не определено",org)</f>
        <v>АО "ДГК"</v>
      </c>
      <c r="E6" s="2204"/>
      <c r="F6" s="2204"/>
      <c r="G6" s="2204"/>
      <c r="H6" s="2204"/>
      <c r="I6" s="2204"/>
      <c r="J6" s="2204"/>
      <c r="K6" s="2277"/>
      <c r="L6" s="2277"/>
      <c r="M6" s="2277"/>
      <c r="N6" s="2277"/>
      <c r="O6" s="2277"/>
      <c r="P6" s="2277"/>
      <c r="Q6" s="546"/>
      <c r="AB6" s="514">
        <v>15</v>
      </c>
    </row>
    <row customHeight="1" ht="15.75">
      <c r="C7" s="185"/>
      <c r="D7" s="761"/>
      <c r="E7" s="518"/>
      <c r="F7" s="518"/>
      <c r="G7" s="546">
        <v>22</v>
      </c>
      <c r="I7" s="546">
        <v>1</v>
      </c>
      <c r="J7" s="761"/>
      <c r="K7" s="1375" t="s">
        <v>22</v>
      </c>
      <c r="L7" s="1644"/>
      <c r="M7" s="1375" t="s">
        <v>22</v>
      </c>
      <c r="N7" s="1644"/>
      <c r="O7" s="1375" t="s">
        <v>22</v>
      </c>
      <c r="P7" s="1644"/>
      <c r="AB7" s="514">
        <v>15</v>
      </c>
    </row>
    <row s="1644" customFormat="1" customHeight="1" ht="1.05">
      <c r="A8" s="768"/>
      <c r="C8" s="185"/>
      <c r="D8" s="518"/>
      <c r="E8" s="518"/>
      <c r="F8" s="518"/>
      <c r="G8" s="546"/>
      <c r="H8" s="761"/>
      <c r="I8" s="546" t="s">
        <v>126</v>
      </c>
      <c r="J8" s="761"/>
      <c r="K8" s="1375" t="s">
        <v>131</v>
      </c>
      <c r="L8" s="761"/>
      <c r="M8" s="1375" t="s">
        <v>134</v>
      </c>
      <c r="N8" s="761"/>
      <c r="O8" s="1375" t="s">
        <v>136</v>
      </c>
      <c r="P8" s="761"/>
      <c r="Q8" s="426"/>
      <c r="AA8" s="684"/>
      <c r="AB8" s="767">
        <v>1</v>
      </c>
    </row>
    <row customHeight="1" ht="15.75">
      <c r="C9" s="185"/>
      <c r="D9" s="720"/>
      <c r="E9" s="2395" t="s">
        <v>114</v>
      </c>
      <c r="F9" s="2396"/>
      <c r="G9" s="2423" t="str">
        <f>IF(G8="","",INDEX(DIFFERENTIATION_UNMERGE_VD,MATCH(G8,DIFFERENTIATION_ID_DIFF,0)))</f>
        <v/>
      </c>
      <c r="H9" s="2424"/>
      <c r="I9" s="2423" t="str">
        <f>IF(I8="","",INDEX(DIFFERENTIATION_UNMERGE_VD,MATCH(I8,DIFFERENTIATION_ID_DIFF,0)))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J9" s="2424"/>
      <c r="K9" s="2423" t="str">
        <f>IF(K8="","",INDEX(DIFFERENTIATION_UNMERGE_VD,MATCH(K8,DIFFERENTIATION_ID_DIFF,0)))</f>
        <v>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L9" s="2424"/>
      <c r="M9" s="2423" t="str">
        <f>IF(M8="","",INDEX(DIFFERENTIATION_UNMERGE_VD,MATCH(M8,DIFFERENTIATION_ID_DIFF,0)))</f>
        <v>Производство тепловой энергии. Некомбинированная выработка; Производство тепловой энергии. Комбинированная выработка с уст. мощностью производства электрической энергии 25 МВт и более; Производство. Теплоноситель; Передача. Тепловая энергия; Передача. Теплоноситель; Сбыт. Тепловая энергия; Сбыт. Теплоноситель</v>
      </c>
      <c r="N9" s="2424"/>
      <c r="O9" s="2423" t="str">
        <f>IF(O8="","",INDEX(DIFFERENTIATION_UNMERGE_VD,MATCH(O8,DIFFERENTIATION_ID_DIFF,0)))</f>
        <v>Подключение (технологическое присоединение) к системе теплоснабжения</v>
      </c>
      <c r="P9" s="2424"/>
      <c r="Q9" s="2203" t="s">
        <v>316</v>
      </c>
      <c r="AB9" s="514">
        <v>15</v>
      </c>
    </row>
    <row s="1644" customFormat="1" customHeight="1" ht="15.75">
      <c r="A10" s="768"/>
      <c r="C10" s="185"/>
      <c r="D10" s="720"/>
      <c r="E10" s="2395" t="s">
        <v>577</v>
      </c>
      <c r="F10" s="2396"/>
      <c r="G10" s="2423" t="str">
        <f>IF(G8="","",INDEX(DIFFERENTIATION_UNMERGE_AREA,MATCH(G8,DIFFERENTIATION_ID_DIFF,0)))</f>
        <v/>
      </c>
      <c r="H10" s="2424"/>
      <c r="I10" s="2423" t="str">
        <f>IF(I8="","",INDEX(DIFFERENTIATION_UNMERGE_AREA,MATCH(I8,DIFFERENTIATION_ID_DIFF,0)))</f>
        <v>Территория 1</v>
      </c>
      <c r="J10" s="2424"/>
      <c r="K10" s="2423" t="str">
        <f>IF(K8="","",INDEX(DIFFERENTIATION_UNMERGE_AREA,MATCH(K8,DIFFERENTIATION_ID_DIFF,0)))</f>
        <v>Территория 3</v>
      </c>
      <c r="L10" s="2424"/>
      <c r="M10" s="2423" t="str">
        <f>IF(M8="","",INDEX(DIFFERENTIATION_UNMERGE_AREA,MATCH(M8,DIFFERENTIATION_ID_DIFF,0)))</f>
        <v>Территория 2</v>
      </c>
      <c r="N10" s="2424"/>
      <c r="O10" s="2423" t="str">
        <f>IF(O8="","",INDEX(DIFFERENTIATION_UNMERGE_AREA,MATCH(O8,DIFFERENTIATION_ID_DIFF,0)))</f>
        <v>без дифференциации</v>
      </c>
      <c r="P10" s="2424"/>
      <c r="Q10" s="2227"/>
      <c r="AA10" s="684"/>
      <c r="AB10" s="767">
        <v>15</v>
      </c>
    </row>
    <row s="1644" customFormat="1" customHeight="1" ht="15.75">
      <c r="A11" s="768"/>
      <c r="C11" s="185"/>
      <c r="D11" s="720"/>
      <c r="E11" s="2395" t="s">
        <v>578</v>
      </c>
      <c r="F11" s="2396"/>
      <c r="G11" s="2423" t="str">
        <f>IF(G8="","",INDEX(DIFFERENTIATION_UNMERGE_SYSTEM,MATCH(G8,DIFFERENTIATION_ID_DIFF,0)))</f>
        <v/>
      </c>
      <c r="H11" s="2424"/>
      <c r="I11" s="2423" t="str">
        <f>IF(I8="","",INDEX(DIFFERENTIATION_UNMERGE_SYSTEM,MATCH(I8,DIFFERENTIATION_ID_DIFF,0)))</f>
        <v>Артемовская ТЭЦ, ТС г. Артем</v>
      </c>
      <c r="J11" s="2424"/>
      <c r="K11" s="2423" t="str">
        <f>IF(K8="","",INDEX(DIFFERENTIATION_UNMERGE_SYSTEM,MATCH(K8,DIFFERENTIATION_ID_DIFF,0)))</f>
        <v>Партизанская ГРЭС, ТС г. Партизанск</v>
      </c>
      <c r="L11" s="2424"/>
      <c r="M11" s="2423" t="str">
        <f>IF(M8="","",INDEX(DIFFERENTIATION_UNMERGE_SYSTEM,MATCH(M8,DIFFERENTIATION_ID_DIFF,0)))</f>
        <v>Восточная ТЭЦ, котельные г. Владивосток, ТС г. Владивосток</v>
      </c>
      <c r="N11" s="2424"/>
      <c r="O11" s="2423" t="str">
        <f>IF(O8="","",INDEX(DIFFERENTIATION_UNMERGE_SYSTEM,MATCH(O8,DIFFERENTIATION_ID_DIFF,0)))</f>
        <v>без дифференциации</v>
      </c>
      <c r="P11" s="2424"/>
      <c r="Q11" s="2227"/>
      <c r="AA11" s="684"/>
      <c r="AB11" s="767">
        <v>15</v>
      </c>
    </row>
    <row s="1644" customFormat="1" customHeight="1" ht="15.75">
      <c r="A12" s="768"/>
      <c r="C12" s="185"/>
      <c r="D12" s="2397" t="s">
        <v>315</v>
      </c>
      <c r="E12" s="2398"/>
      <c r="F12" s="2398"/>
      <c r="G12" s="896"/>
      <c r="H12" s="896"/>
      <c r="I12" s="896"/>
      <c r="J12" s="896"/>
      <c r="K12" s="2395"/>
      <c r="L12" s="2395"/>
      <c r="M12" s="2395"/>
      <c r="N12" s="2395"/>
      <c r="O12" s="2395"/>
      <c r="P12" s="2395"/>
      <c r="Q12" s="2227"/>
      <c r="AA12" s="684"/>
      <c r="AB12" s="767">
        <v>15</v>
      </c>
    </row>
    <row customHeight="1" ht="35.699999999999996">
      <c r="C13" s="185"/>
      <c r="D13" s="814" t="s">
        <v>89</v>
      </c>
      <c r="E13" s="816" t="s">
        <v>317</v>
      </c>
      <c r="F13" s="816" t="s">
        <v>579</v>
      </c>
      <c r="G13" s="817" t="s">
        <v>318</v>
      </c>
      <c r="H13" s="816" t="s">
        <v>405</v>
      </c>
      <c r="I13" s="817" t="s">
        <v>318</v>
      </c>
      <c r="J13" s="816" t="s">
        <v>405</v>
      </c>
      <c r="K13" s="2290" t="s">
        <v>318</v>
      </c>
      <c r="L13" s="2340" t="s">
        <v>405</v>
      </c>
      <c r="M13" s="2290" t="s">
        <v>318</v>
      </c>
      <c r="N13" s="2340" t="s">
        <v>405</v>
      </c>
      <c r="O13" s="2290" t="s">
        <v>318</v>
      </c>
      <c r="P13" s="2340" t="s">
        <v>405</v>
      </c>
      <c r="Q13" s="2260"/>
      <c r="AB13" s="514">
        <v>34</v>
      </c>
    </row>
    <row customHeight="1" ht="15" hidden="1">
      <c r="C14" s="185"/>
      <c r="D14" s="602" t="s">
        <v>118</v>
      </c>
      <c r="E14" s="602" t="s">
        <v>103</v>
      </c>
      <c r="F14" s="602" t="s">
        <v>91</v>
      </c>
      <c r="G14" s="668" t="str">
        <f>G1&amp;".1"</f>
        <v>4.1</v>
      </c>
      <c r="H14" s="668"/>
      <c r="I14" s="668" t="str">
        <f>I1&amp;".1"</f>
        <v>4.1</v>
      </c>
      <c r="J14" s="668"/>
      <c r="K14" s="692" t="str">
        <f>K1&amp;".1"</f>
        <v>4.1</v>
      </c>
      <c r="L14" s="692"/>
      <c r="M14" s="692" t="str">
        <f>M1&amp;".1"</f>
        <v>4.1</v>
      </c>
      <c r="N14" s="692"/>
      <c r="O14" s="692" t="str">
        <f>O1&amp;".1"</f>
        <v>4.1</v>
      </c>
      <c r="P14" s="692"/>
      <c r="Q14" s="298"/>
      <c r="AB14" s="514">
        <v>0</v>
      </c>
    </row>
    <row customHeight="1" ht="22.5" hidden="1">
      <c r="A15" s="514"/>
      <c r="C15" s="535"/>
      <c r="D15" s="530">
        <v>1</v>
      </c>
      <c r="E15" s="686" t="s">
        <v>849</v>
      </c>
      <c r="F15" s="530" t="s">
        <v>850</v>
      </c>
      <c r="G15" s="687"/>
      <c r="H15" s="687"/>
      <c r="I15" s="687"/>
      <c r="J15" s="687"/>
      <c r="K15" s="687"/>
      <c r="L15" s="687"/>
      <c r="M15" s="687"/>
      <c r="N15" s="687"/>
      <c r="O15" s="687"/>
      <c r="P15" s="687"/>
      <c r="Q15" s="298" t="s">
        <v>851</v>
      </c>
      <c r="AB15" s="514">
        <v>0</v>
      </c>
    </row>
    <row customHeight="1" ht="22.5" hidden="1">
      <c r="A16" s="514"/>
      <c r="C16" s="535"/>
      <c r="D16" s="530">
        <v>2</v>
      </c>
      <c r="E16" s="288" t="s">
        <v>852</v>
      </c>
      <c r="F16" s="530" t="s">
        <v>853</v>
      </c>
      <c r="G16" s="687"/>
      <c r="H16" s="687"/>
      <c r="I16" s="687"/>
      <c r="J16" s="687"/>
      <c r="K16" s="687"/>
      <c r="L16" s="687"/>
      <c r="M16" s="687"/>
      <c r="N16" s="687"/>
      <c r="O16" s="687"/>
      <c r="P16" s="687"/>
      <c r="Q16" s="298" t="s">
        <v>854</v>
      </c>
      <c r="AB16" s="514">
        <v>0</v>
      </c>
    </row>
    <row customHeight="1" ht="123.75" hidden="1">
      <c r="A17" s="514"/>
      <c r="C17" s="535"/>
      <c r="D17" s="530">
        <v>3</v>
      </c>
      <c r="E17" s="288" t="s">
        <v>1468</v>
      </c>
      <c r="F17" s="530" t="s">
        <v>321</v>
      </c>
      <c r="G17" s="687"/>
      <c r="H17" s="687"/>
      <c r="I17" s="687"/>
      <c r="J17" s="687"/>
      <c r="K17" s="687"/>
      <c r="L17" s="687"/>
      <c r="M17" s="687"/>
      <c r="N17" s="687"/>
      <c r="O17" s="687"/>
      <c r="P17" s="687"/>
      <c r="Q17" s="298" t="s">
        <v>1469</v>
      </c>
      <c r="AB17" s="514">
        <v>0</v>
      </c>
    </row>
    <row customHeight="1" ht="48.29999999999999">
      <c r="A18" s="514"/>
      <c r="C18" s="535"/>
      <c r="D18" s="530">
        <v>3</v>
      </c>
      <c r="E18" s="288" t="s">
        <v>855</v>
      </c>
      <c r="F18" s="530" t="s">
        <v>321</v>
      </c>
      <c r="G18" s="818" t="s">
        <v>321</v>
      </c>
      <c r="H18" s="819" t="s">
        <v>321</v>
      </c>
      <c r="I18" s="530" t="s">
        <v>321</v>
      </c>
      <c r="J18" s="587" t="s">
        <v>321</v>
      </c>
      <c r="K18" s="2340" t="s">
        <v>321</v>
      </c>
      <c r="L18" s="2288" t="s">
        <v>321</v>
      </c>
      <c r="M18" s="2340" t="s">
        <v>321</v>
      </c>
      <c r="N18" s="2288" t="s">
        <v>321</v>
      </c>
      <c r="O18" s="2340" t="s">
        <v>321</v>
      </c>
      <c r="P18" s="2288" t="s">
        <v>321</v>
      </c>
      <c r="Q18" s="298" t="s">
        <v>1470</v>
      </c>
      <c r="AB18" s="514">
        <v>46</v>
      </c>
    </row>
    <row customHeight="1" ht="35.699999999999996">
      <c r="A19" s="514"/>
      <c r="C19" s="535"/>
      <c r="D19" s="548" t="s">
        <v>339</v>
      </c>
      <c r="E19" s="568" t="s">
        <v>857</v>
      </c>
      <c r="F19" s="530" t="s">
        <v>858</v>
      </c>
      <c r="G19" s="826"/>
      <c r="H19" s="115"/>
      <c r="I19" s="826"/>
      <c r="J19" s="827"/>
      <c r="K19" s="826"/>
      <c r="L19" s="2529"/>
      <c r="M19" s="826"/>
      <c r="N19" s="2529"/>
      <c r="O19" s="826"/>
      <c r="P19" s="2529"/>
      <c r="Q19" s="688"/>
      <c r="AB19" s="514">
        <v>34</v>
      </c>
    </row>
    <row customHeight="1" ht="35.699999999999996">
      <c r="A20" s="514"/>
      <c r="C20" s="535"/>
      <c r="D20" s="1896" t="s">
        <v>347</v>
      </c>
      <c r="E20" s="568" t="s">
        <v>859</v>
      </c>
      <c r="F20" s="530" t="s">
        <v>860</v>
      </c>
      <c r="G20" s="826"/>
      <c r="H20" s="115"/>
      <c r="I20" s="826"/>
      <c r="J20" s="115"/>
      <c r="K20" s="826"/>
      <c r="L20" s="2529"/>
      <c r="M20" s="826"/>
      <c r="N20" s="2529"/>
      <c r="O20" s="826"/>
      <c r="P20" s="2529"/>
      <c r="Q20" s="688"/>
      <c r="AB20" s="514">
        <v>34</v>
      </c>
    </row>
    <row customHeight="1" ht="48.29999999999999">
      <c r="A21" s="514"/>
      <c r="C21" s="535"/>
      <c r="D21" s="1896" t="s">
        <v>349</v>
      </c>
      <c r="E21" s="568" t="s">
        <v>861</v>
      </c>
      <c r="F21" s="530" t="s">
        <v>590</v>
      </c>
      <c r="G21" s="689"/>
      <c r="H21" s="115"/>
      <c r="I21" s="689"/>
      <c r="J21" s="115"/>
      <c r="K21" s="689"/>
      <c r="L21" s="2529"/>
      <c r="M21" s="689"/>
      <c r="N21" s="2529"/>
      <c r="O21" s="689"/>
      <c r="P21" s="2529"/>
      <c r="Q21" s="688"/>
      <c r="AB21" s="514">
        <v>46</v>
      </c>
    </row>
    <row customHeight="1" ht="67.5" hidden="1">
      <c r="A22" s="514"/>
      <c r="C22" s="535"/>
      <c r="D22" s="530">
        <v>5</v>
      </c>
      <c r="E22" s="288" t="s">
        <v>1471</v>
      </c>
      <c r="F22" s="530" t="s">
        <v>571</v>
      </c>
      <c r="G22" s="690"/>
      <c r="H22" s="691"/>
      <c r="I22" s="690"/>
      <c r="J22" s="691"/>
      <c r="K22" s="690"/>
      <c r="L22" s="1448"/>
      <c r="M22" s="690"/>
      <c r="N22" s="1448"/>
      <c r="O22" s="690"/>
      <c r="P22" s="1448"/>
      <c r="Q22" s="298" t="s">
        <v>1472</v>
      </c>
      <c r="AB22" s="514">
        <v>0</v>
      </c>
    </row>
    <row customHeight="1" ht="33.75" hidden="1">
      <c r="C23" s="460"/>
      <c r="D23" s="530">
        <v>6</v>
      </c>
      <c r="E23" s="288" t="s">
        <v>1473</v>
      </c>
      <c r="F23" s="530" t="s">
        <v>1474</v>
      </c>
      <c r="G23" s="690"/>
      <c r="H23" s="690"/>
      <c r="I23" s="690"/>
      <c r="J23" s="690"/>
      <c r="K23" s="690"/>
      <c r="L23" s="690"/>
      <c r="M23" s="690"/>
      <c r="N23" s="690"/>
      <c r="O23" s="690"/>
      <c r="P23" s="690"/>
      <c r="Q23" s="298" t="s">
        <v>1475</v>
      </c>
      <c r="AB23" s="514">
        <v>0</v>
      </c>
    </row>
    <row customHeight="1" ht="15.75">
      <c r="K24" s="1644"/>
      <c r="L24" s="1644"/>
      <c r="M24" s="1644"/>
      <c r="N24" s="1644"/>
      <c r="O24" s="1644"/>
      <c r="P24" s="1644"/>
      <c r="AB24" s="514">
        <v>15</v>
      </c>
    </row>
    <row customHeight="1" ht="15.75">
      <c r="K25" s="1644"/>
      <c r="L25" s="1644"/>
      <c r="M25" s="1644"/>
      <c r="N25" s="1644"/>
      <c r="O25" s="1644"/>
      <c r="P25" s="1644"/>
      <c r="AB25" s="514">
        <v>15</v>
      </c>
    </row>
    <row customHeight="1" ht="15.75">
      <c r="K26" s="1644"/>
      <c r="L26" s="1644"/>
      <c r="M26" s="1644"/>
      <c r="N26" s="1644"/>
      <c r="O26" s="1644"/>
      <c r="P26" s="1644"/>
      <c r="AB26" s="514">
        <v>15</v>
      </c>
    </row>
    <row customHeight="1" ht="15.75">
      <c r="K27" s="1644"/>
      <c r="L27" s="1644"/>
      <c r="M27" s="1644"/>
      <c r="N27" s="1644"/>
      <c r="O27" s="1644"/>
      <c r="P27" s="1644"/>
      <c r="AB27" s="514">
        <v>15</v>
      </c>
    </row>
    <row customHeight="1" ht="15.75">
      <c r="K28" s="1644"/>
      <c r="L28" s="1644"/>
      <c r="M28" s="1644"/>
      <c r="N28" s="1644"/>
      <c r="O28" s="1644"/>
      <c r="P28" s="1644"/>
      <c r="AB28" s="514">
        <v>15</v>
      </c>
    </row>
    <row customHeight="1" ht="15.75">
      <c r="J29" s="828"/>
      <c r="K29" s="1644"/>
      <c r="L29" s="1644"/>
      <c r="M29" s="1644"/>
      <c r="N29" s="1644"/>
      <c r="O29" s="1644"/>
      <c r="P29" s="1644"/>
      <c r="AB29" s="514">
        <v>15</v>
      </c>
    </row>
    <row customHeight="1" ht="22.5" hidden="1">
      <c r="A30" s="458" t="s">
        <v>83</v>
      </c>
      <c r="B30" s="514">
        <v>0</v>
      </c>
      <c r="C30" s="692">
        <v>4</v>
      </c>
      <c r="D30" s="514">
        <v>6</v>
      </c>
      <c r="E30" s="514">
        <v>47</v>
      </c>
      <c r="F30" s="514">
        <v>9</v>
      </c>
      <c r="G30" s="767">
        <v>0</v>
      </c>
      <c r="H30" s="767">
        <v>0</v>
      </c>
      <c r="I30" s="514">
        <v>25</v>
      </c>
      <c r="J30" s="514">
        <v>33</v>
      </c>
      <c r="K30" s="1644">
        <v>0</v>
      </c>
      <c r="L30" s="1644">
        <v>0</v>
      </c>
      <c r="M30" s="1644">
        <v>0</v>
      </c>
      <c r="N30" s="1644">
        <v>0</v>
      </c>
      <c r="O30" s="1644">
        <v>0</v>
      </c>
      <c r="P30" s="1644">
        <v>0</v>
      </c>
      <c r="Q30" s="426">
        <v>50</v>
      </c>
      <c r="R30" s="514">
        <v>10</v>
      </c>
      <c r="S30" s="514">
        <v>10</v>
      </c>
      <c r="T30" s="514">
        <v>10</v>
      </c>
      <c r="U30" s="514">
        <v>10</v>
      </c>
      <c r="V30" s="514">
        <v>10</v>
      </c>
      <c r="W30" s="514">
        <v>10</v>
      </c>
      <c r="X30" s="514">
        <v>10</v>
      </c>
      <c r="Y30" s="514">
        <v>10</v>
      </c>
      <c r="Z30" s="514">
        <v>10</v>
      </c>
      <c r="AA30" s="684">
        <v>10</v>
      </c>
      <c r="AB30" s="514">
        <v>23</v>
      </c>
    </row>
  </sheetData>
  <sheetProtection sheet="1" formatColumns="0" formatRows="0" autoFilter="0" sort="1" insertRows="1" insertColumns="1" deleteRows="1" deleteColumns="1"/>
  <mergeCells count="22">
    <mergeCell ref="D5:J5"/>
    <mergeCell ref="D6:J6"/>
    <mergeCell ref="Q9:Q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s>
  <dataValidations count="4">
    <dataValidation type="decimal" allowBlank="1" showErrorMessage="1" errorTitle="Ошибка" error="Допускается ввод только неотрицательных чисел!" sqref="G21 I21 K21 M21 O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C03BE658-6E4B-478E-9764-0.221499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11" width="32.57421875" customWidth="1"/>
    <col min="2" max="2" style="1856" width="11.00390625" customWidth="1"/>
    <col min="3" max="3" style="1856" width="9.140625"/>
    <col min="4" max="4" style="1856" width="26.57421875" customWidth="1"/>
    <col min="5" max="5" style="1831" width="36.8515625" customWidth="1"/>
    <col min="6" max="6" style="1831" width="41.421875" customWidth="1"/>
    <col min="7" max="7" style="1831" width="31.421875" customWidth="1"/>
    <col min="8" max="8" style="1831" width="40.8515625" customWidth="1"/>
    <col min="9" max="9" style="1831" width="14.57421875" customWidth="1"/>
    <col min="10" max="10" style="1831" width="26.8515625" customWidth="1"/>
    <col min="11" max="11" style="1831" width="50.00390625" customWidth="1"/>
    <col min="12" max="12" style="1831" width="52.421875" customWidth="1"/>
    <col min="13" max="13" style="1831" width="10.7109375" customWidth="1"/>
    <col min="14" max="14" style="1831" width="55.140625" customWidth="1"/>
    <col min="15" max="15" style="1831" width="31.8515625" customWidth="1"/>
    <col min="16" max="16" style="1831" width="23.8515625" customWidth="1"/>
    <col min="17" max="17" style="1831" width="46.57421875" customWidth="1"/>
    <col min="18" max="18" style="1831" width="24.00390625" customWidth="1"/>
    <col min="19" max="19" style="1831" width="20.57421875" customWidth="1"/>
    <col min="20" max="20" style="1831" width="22.00390625" customWidth="1"/>
    <col min="21" max="22" style="1831" width="26.421875" customWidth="1"/>
    <col min="23" max="23" style="1831" width="8.28125" hidden="1" customWidth="1"/>
    <col min="24" max="24" style="1831" width="59.7109375" customWidth="1"/>
    <col min="25" max="25" style="1831" width="49.140625" customWidth="1"/>
    <col min="26" max="26" style="1831" width="11.140625" customWidth="1"/>
    <col min="27" max="30" style="1831" width="29.00390625" customWidth="1"/>
    <col min="31" max="31" style="1831" width="9.140625"/>
    <col min="32" max="32" style="1831" width="34.7109375" customWidth="1"/>
    <col min="33" max="33" style="1831" width="9.140625"/>
    <col min="34" max="35" style="1831" width="34.421875" customWidth="1"/>
    <col min="36" max="36" style="1831" width="9.140625"/>
    <col min="37" max="37" style="1831" width="24.57421875" customWidth="1"/>
    <col min="38" max="38" style="1831" width="9.140625"/>
    <col min="39" max="39" style="1831" width="26.140625" customWidth="1"/>
    <col min="40" max="40" style="1831" width="1.7109375" customWidth="1"/>
    <col min="41" max="41" style="1831" width="9.140625"/>
    <col min="42" max="43" style="1831" width="47.8515625" customWidth="1"/>
    <col min="44" max="44" style="1831" width="1.7109375" customWidth="1"/>
    <col min="45" max="45" style="1831" width="21.421875" customWidth="1"/>
    <col min="46" max="46" style="1831" width="1.7109375" customWidth="1"/>
    <col min="47" max="47" style="1831" width="31.28125" customWidth="1"/>
    <col min="48" max="48" style="1831" width="1.7109375" customWidth="1"/>
    <col min="49" max="50" style="1831" width="9.140625"/>
    <col min="51" max="51" style="1831" width="3.7109375" customWidth="1"/>
    <col min="52" max="52" style="1831" width="60.8515625" customWidth="1"/>
    <col min="53" max="53" style="1831" width="49.28125" customWidth="1"/>
    <col min="54" max="54" style="1831" width="35.140625" customWidth="1"/>
    <col min="55" max="55" style="1831" width="9.140625"/>
    <col min="56" max="56" style="1831" width="1.7109375" customWidth="1"/>
    <col min="57" max="58" style="1075" width="34.57421875" customWidth="1"/>
    <col min="59" max="59" style="1831" width="30.7109375" customWidth="1"/>
    <col min="60" max="60" style="1846" width="40.7109375" customWidth="1"/>
    <col min="61" max="61" style="1846" width="15.00390625" customWidth="1"/>
    <col min="62" max="62" style="1846" width="40.7109375" customWidth="1"/>
    <col min="63" max="63" style="1846" width="2.7109375" customWidth="1"/>
    <col min="64" max="64" style="1846" width="44.7109375" customWidth="1"/>
    <col min="65" max="65" style="1846" width="2.7109375" customWidth="1"/>
    <col min="66" max="66" style="1846" width="40.7109375" customWidth="1"/>
    <col min="67" max="68" style="1831" width="9.140625"/>
    <col min="69" max="69" style="1831" width="18.140625" customWidth="1"/>
    <col min="70" max="70" style="1831" width="57.8515625" customWidth="1"/>
    <col min="71" max="71" style="1831" width="1.7109375" customWidth="1"/>
    <col min="72" max="72" style="1831" width="22.57421875" customWidth="1"/>
    <col min="73" max="73" style="1831" width="57.8515625" customWidth="1"/>
    <col min="74" max="74" style="1831" width="1.7109375" customWidth="1"/>
    <col min="75" max="75" style="1831" width="22.57421875" customWidth="1"/>
    <col min="76" max="76" style="1831" width="57.8515625" customWidth="1"/>
    <col min="77" max="77" style="1831" width="1.7109375" customWidth="1"/>
    <col min="78" max="78" style="1831" width="22.57421875" customWidth="1"/>
    <col min="79" max="79" style="1831" width="57.8515625" customWidth="1"/>
    <col min="80" max="81" style="1831" width="9.140625"/>
    <col min="82" max="82" style="1831" width="49.57421875" customWidth="1"/>
  </cols>
  <sheetData>
    <row s="1436" customFormat="1" customHeight="1" ht="11.25">
      <c r="A1" s="1076" t="s">
        <v>1476</v>
      </c>
      <c r="B1" s="1076" t="s">
        <v>1477</v>
      </c>
      <c r="C1" s="1076" t="s">
        <v>1478</v>
      </c>
      <c r="D1" s="1076" t="s">
        <v>1479</v>
      </c>
      <c r="E1" s="1076" t="s">
        <v>1480</v>
      </c>
      <c r="F1" s="1076" t="s">
        <v>1481</v>
      </c>
      <c r="G1" s="1076" t="s">
        <v>1482</v>
      </c>
      <c r="H1" s="1076" t="s">
        <v>1483</v>
      </c>
      <c r="I1" s="1076" t="s">
        <v>1484</v>
      </c>
      <c r="J1" s="1076" t="s">
        <v>1485</v>
      </c>
      <c r="K1" s="1076" t="s">
        <v>1486</v>
      </c>
      <c r="L1" s="1076" t="s">
        <v>1487</v>
      </c>
      <c r="M1" s="1076"/>
      <c r="N1" s="1076" t="s">
        <v>1488</v>
      </c>
      <c r="O1" s="1076" t="s">
        <v>1489</v>
      </c>
      <c r="P1" s="1076" t="s">
        <v>1490</v>
      </c>
      <c r="Q1" s="1076" t="s">
        <v>1491</v>
      </c>
      <c r="R1" s="1076" t="s">
        <v>1492</v>
      </c>
      <c r="S1" s="1076" t="s">
        <v>1493</v>
      </c>
      <c r="T1" s="1076" t="s">
        <v>1494</v>
      </c>
      <c r="U1" s="1076" t="s">
        <v>1495</v>
      </c>
      <c r="V1" s="1076"/>
      <c r="W1" s="806" t="s">
        <v>1496</v>
      </c>
      <c r="X1" s="1076" t="s">
        <v>1497</v>
      </c>
      <c r="Y1" s="1076" t="s">
        <v>1498</v>
      </c>
      <c r="Z1" s="1076"/>
      <c r="AA1" s="1076" t="s">
        <v>1499</v>
      </c>
      <c r="AB1" s="1076"/>
      <c r="AC1" s="1076" t="s">
        <v>1500</v>
      </c>
      <c r="AD1" s="1076"/>
      <c r="AF1" s="1076" t="s">
        <v>1501</v>
      </c>
      <c r="AH1" s="1076" t="s">
        <v>1502</v>
      </c>
      <c r="AI1" s="1076" t="s">
        <v>1503</v>
      </c>
      <c r="AK1" s="1076" t="s">
        <v>1504</v>
      </c>
      <c r="AM1" s="1076" t="s">
        <v>1505</v>
      </c>
      <c r="AP1" s="1076" t="s">
        <v>1506</v>
      </c>
      <c r="AQ1" s="1076" t="s">
        <v>1507</v>
      </c>
      <c r="AS1" s="1076" t="s">
        <v>1508</v>
      </c>
      <c r="AU1" s="1076" t="s">
        <v>1509</v>
      </c>
      <c r="AW1" s="1076" t="s">
        <v>1510</v>
      </c>
      <c r="AX1" s="1076" t="s">
        <v>1511</v>
      </c>
      <c r="AZ1" s="1161" t="s">
        <v>1512</v>
      </c>
      <c r="BB1" s="1076" t="s">
        <v>1513</v>
      </c>
      <c r="BC1" s="1076"/>
      <c r="BE1" s="1076" t="s">
        <v>1514</v>
      </c>
      <c r="BF1" s="1076" t="s">
        <v>1515</v>
      </c>
      <c r="BH1" s="1078" t="s">
        <v>848</v>
      </c>
      <c r="BI1" s="1079"/>
      <c r="BJ1" s="1080" t="s">
        <v>1516</v>
      </c>
      <c r="BK1" s="1079"/>
      <c r="BL1" s="1081" t="s">
        <v>950</v>
      </c>
      <c r="BM1" s="1079"/>
      <c r="BN1" s="1082" t="s">
        <v>1517</v>
      </c>
      <c r="BS1" s="1436"/>
    </row>
    <row customHeight="1" ht="11.25">
      <c r="A2" s="1083" t="s">
        <v>1518</v>
      </c>
      <c r="B2" s="1084">
        <v>2000</v>
      </c>
      <c r="C2" s="1084">
        <v>2022</v>
      </c>
      <c r="D2" s="1084" t="s">
        <v>63</v>
      </c>
      <c r="E2" s="1085" t="s">
        <v>1519</v>
      </c>
      <c r="F2" s="1085" t="s">
        <v>1520</v>
      </c>
      <c r="G2" s="1085" t="s">
        <v>1521</v>
      </c>
      <c r="H2" s="1086" t="s">
        <v>55</v>
      </c>
      <c r="I2" s="1085" t="s">
        <v>118</v>
      </c>
      <c r="J2" s="1085" t="s">
        <v>1522</v>
      </c>
      <c r="K2" s="1087" t="s">
        <v>1523</v>
      </c>
      <c r="L2" s="1088"/>
      <c r="M2" s="1087">
        <v>1</v>
      </c>
      <c r="N2" s="1171" t="s">
        <v>1524</v>
      </c>
      <c r="O2" s="1086" t="s">
        <v>1525</v>
      </c>
      <c r="P2" s="1089" t="s">
        <v>38</v>
      </c>
      <c r="Q2" s="1090" t="s">
        <v>1526</v>
      </c>
      <c r="R2" s="152" t="s">
        <v>1527</v>
      </c>
      <c r="S2" s="152" t="s">
        <v>1528</v>
      </c>
      <c r="T2" s="1091" t="s">
        <v>1529</v>
      </c>
      <c r="U2" s="1088" t="s">
        <v>1530</v>
      </c>
      <c r="V2" s="1092">
        <v>1</v>
      </c>
      <c r="W2" s="1093"/>
      <c r="X2" s="1093" t="s">
        <v>1531</v>
      </c>
      <c r="Y2" s="1084" t="s">
        <v>1532</v>
      </c>
      <c r="Z2" s="1094"/>
      <c r="AA2" s="1084" t="s">
        <v>1533</v>
      </c>
      <c r="AB2" s="1095" t="s">
        <v>1533</v>
      </c>
      <c r="AC2" s="1084" t="s">
        <v>1534</v>
      </c>
      <c r="AD2" s="1095" t="s">
        <v>1534</v>
      </c>
      <c r="AF2" s="1086" t="s">
        <v>1530</v>
      </c>
      <c r="AH2" s="1085" t="s">
        <v>1535</v>
      </c>
      <c r="AI2" s="1085" t="s">
        <v>1535</v>
      </c>
      <c r="AK2" s="1085" t="s">
        <v>1536</v>
      </c>
      <c r="AM2" s="1085" t="s">
        <v>1537</v>
      </c>
      <c r="AP2" s="1096" t="s">
        <v>1531</v>
      </c>
      <c r="AQ2" s="1097" t="s">
        <v>1531</v>
      </c>
      <c r="AS2" s="1084" t="s">
        <v>1538</v>
      </c>
      <c r="AU2" s="1129" t="s">
        <v>1539</v>
      </c>
      <c r="AW2" s="1129" t="s">
        <v>1540</v>
      </c>
      <c r="AX2" s="1129" t="s">
        <v>1540</v>
      </c>
      <c r="AZ2" s="1129" t="s">
        <v>53</v>
      </c>
      <c r="BB2" s="1129" t="s">
        <v>582</v>
      </c>
      <c r="BC2" s="1129" t="s">
        <v>583</v>
      </c>
      <c r="BE2" s="2094" t="s">
        <v>1074</v>
      </c>
      <c r="BF2" s="2094" t="s">
        <v>1074</v>
      </c>
    </row>
    <row customHeight="1" ht="11.25">
      <c r="A3" s="1083" t="s">
        <v>1541</v>
      </c>
      <c r="B3" s="1084">
        <v>2001</v>
      </c>
      <c r="C3" s="1084">
        <v>2023</v>
      </c>
      <c r="D3" s="1084" t="s">
        <v>19</v>
      </c>
      <c r="E3" s="1085" t="s">
        <v>1542</v>
      </c>
      <c r="F3" s="1085" t="s">
        <v>1543</v>
      </c>
      <c r="G3" s="1085" t="s">
        <v>1544</v>
      </c>
      <c r="H3" s="1086" t="s">
        <v>1545</v>
      </c>
      <c r="I3" s="1085" t="s">
        <v>103</v>
      </c>
      <c r="J3" s="1085" t="s">
        <v>569</v>
      </c>
      <c r="K3" s="1087" t="s">
        <v>1546</v>
      </c>
      <c r="L3" s="1088">
        <f>_xlfn.IFERROR(MATCH(K3,OFFER_METHOD,0),0)</f>
        <v>0</v>
      </c>
      <c r="M3" s="1087">
        <v>2</v>
      </c>
      <c r="N3" s="1171" t="s">
        <v>1547</v>
      </c>
      <c r="O3" s="1086" t="s">
        <v>1548</v>
      </c>
      <c r="P3" s="1089" t="s">
        <v>1549</v>
      </c>
      <c r="Q3" s="1090" t="s">
        <v>1550</v>
      </c>
      <c r="R3" s="152" t="s">
        <v>1551</v>
      </c>
      <c r="S3" s="152" t="s">
        <v>1552</v>
      </c>
      <c r="T3" s="1091" t="s">
        <v>1553</v>
      </c>
      <c r="U3" s="1088" t="s">
        <v>1554</v>
      </c>
      <c r="V3" s="1092">
        <v>2</v>
      </c>
      <c r="W3" s="1093"/>
      <c r="X3" s="1093" t="s">
        <v>1555</v>
      </c>
      <c r="Y3" s="1084" t="s">
        <v>1532</v>
      </c>
      <c r="Z3" s="1094"/>
      <c r="AA3" s="1084" t="s">
        <v>1556</v>
      </c>
      <c r="AB3" s="1095" t="s">
        <v>1556</v>
      </c>
      <c r="AC3" s="1084" t="s">
        <v>1557</v>
      </c>
      <c r="AD3" s="1095" t="s">
        <v>1557</v>
      </c>
      <c r="AF3" s="1086" t="s">
        <v>1554</v>
      </c>
      <c r="AH3" s="1085" t="s">
        <v>1558</v>
      </c>
      <c r="AI3" s="1085" t="s">
        <v>1559</v>
      </c>
      <c r="AK3" s="1085" t="s">
        <v>1560</v>
      </c>
      <c r="AM3" s="1085" t="s">
        <v>1561</v>
      </c>
      <c r="AP3" s="1096" t="s">
        <v>1562</v>
      </c>
      <c r="AQ3" s="1097" t="s">
        <v>1562</v>
      </c>
      <c r="AS3" s="1084" t="s">
        <v>1563</v>
      </c>
      <c r="AU3" s="1129" t="s">
        <v>1564</v>
      </c>
      <c r="AW3" s="1129" t="s">
        <v>1565</v>
      </c>
      <c r="AX3" s="1129" t="s">
        <v>1565</v>
      </c>
      <c r="AZ3" s="1129" t="s">
        <v>1566</v>
      </c>
      <c r="BB3" s="1129" t="s">
        <v>1567</v>
      </c>
      <c r="BC3" s="1129" t="s">
        <v>583</v>
      </c>
      <c r="BE3" s="2094" t="s">
        <v>1089</v>
      </c>
      <c r="BF3" s="2094" t="s">
        <v>1089</v>
      </c>
      <c r="BH3" s="1076" t="s">
        <v>1568</v>
      </c>
      <c r="BJ3" s="1076" t="s">
        <v>1569</v>
      </c>
      <c r="BL3" s="1076" t="s">
        <v>1570</v>
      </c>
      <c r="BN3" s="1076" t="s">
        <v>1571</v>
      </c>
      <c r="BR3" s="1076" t="s">
        <v>1572</v>
      </c>
      <c r="BS3" s="1437"/>
      <c r="BT3" s="1079"/>
      <c r="BU3" s="1076" t="s">
        <v>1573</v>
      </c>
      <c r="BV3" s="1079"/>
      <c r="BW3" s="1698"/>
      <c r="BX3" s="1700" t="s">
        <v>1574</v>
      </c>
      <c r="CA3" s="1076" t="s">
        <v>1575</v>
      </c>
    </row>
    <row customHeight="1" ht="11.25">
      <c r="A4" s="1083" t="s">
        <v>1576</v>
      </c>
      <c r="B4" s="1084">
        <v>2002</v>
      </c>
      <c r="C4" s="1084">
        <v>2024</v>
      </c>
      <c r="E4" s="1085" t="s">
        <v>1577</v>
      </c>
      <c r="F4" s="1085" t="s">
        <v>1578</v>
      </c>
      <c r="H4" s="1086" t="s">
        <v>1579</v>
      </c>
      <c r="I4" s="1085" t="s">
        <v>91</v>
      </c>
      <c r="J4" s="1085" t="s">
        <v>1580</v>
      </c>
      <c r="K4" s="1087" t="s">
        <v>1581</v>
      </c>
      <c r="L4" s="1088">
        <f>_xlfn.IFERROR(MATCH(K4,OFFER_METHOD,0),0)</f>
        <v>0</v>
      </c>
      <c r="M4" s="1087">
        <v>3</v>
      </c>
      <c r="N4" s="1171" t="s">
        <v>1582</v>
      </c>
      <c r="O4" s="1085" t="s">
        <v>1583</v>
      </c>
      <c r="Q4" s="1090" t="s">
        <v>1584</v>
      </c>
      <c r="R4" s="152" t="s">
        <v>1585</v>
      </c>
      <c r="S4" s="152" t="s">
        <v>1586</v>
      </c>
      <c r="T4" s="1091" t="s">
        <v>1587</v>
      </c>
      <c r="U4" s="1088" t="s">
        <v>1588</v>
      </c>
      <c r="V4" s="1092">
        <v>3</v>
      </c>
      <c r="W4" s="1093"/>
      <c r="X4" s="1093" t="s">
        <v>1589</v>
      </c>
      <c r="Y4" s="1084" t="s">
        <v>1532</v>
      </c>
      <c r="Z4" s="1100"/>
      <c r="AC4" s="1084" t="s">
        <v>1590</v>
      </c>
      <c r="AD4" s="1095" t="s">
        <v>1590</v>
      </c>
      <c r="AF4" s="1086" t="s">
        <v>1588</v>
      </c>
      <c r="AH4" s="1086" t="s">
        <v>1591</v>
      </c>
      <c r="AK4" s="1085" t="s">
        <v>1592</v>
      </c>
      <c r="AM4" s="1085" t="s">
        <v>1593</v>
      </c>
      <c r="AP4" s="1096" t="s">
        <v>1555</v>
      </c>
      <c r="AQ4" s="1097" t="s">
        <v>1555</v>
      </c>
      <c r="AS4" s="1084" t="s">
        <v>1594</v>
      </c>
      <c r="AU4" s="1129" t="s">
        <v>1595</v>
      </c>
      <c r="AW4" s="1129" t="s">
        <v>1596</v>
      </c>
      <c r="AX4" s="1129" t="s">
        <v>1596</v>
      </c>
      <c r="AZ4" s="1129" t="s">
        <v>1597</v>
      </c>
      <c r="BB4" s="1129" t="s">
        <v>1598</v>
      </c>
      <c r="BC4" s="1129" t="s">
        <v>1599</v>
      </c>
      <c r="BE4" s="1129">
        <v>2000</v>
      </c>
      <c r="BF4" s="1129" t="s">
        <v>1095</v>
      </c>
      <c r="BH4" s="1077" t="s">
        <v>1600</v>
      </c>
      <c r="BJ4" s="1077" t="s">
        <v>1600</v>
      </c>
      <c r="BL4" s="1077" t="s">
        <v>1600</v>
      </c>
      <c r="BN4" s="1077" t="s">
        <v>1600</v>
      </c>
      <c r="BQ4" s="1441" t="s">
        <v>1601</v>
      </c>
      <c r="BR4" s="1168" t="s">
        <v>1602</v>
      </c>
      <c r="BS4" s="283"/>
      <c r="BT4" s="1441" t="s">
        <v>1603</v>
      </c>
      <c r="BU4" s="1168" t="s">
        <v>1604</v>
      </c>
      <c r="BV4" s="1079"/>
      <c r="BW4" s="1705" t="s">
        <v>1605</v>
      </c>
      <c r="BX4" s="1699" t="s">
        <v>1606</v>
      </c>
      <c r="BZ4" s="1441" t="s">
        <v>1607</v>
      </c>
      <c r="CA4" s="1168" t="s">
        <v>1608</v>
      </c>
    </row>
    <row customHeight="1" ht="11.25">
      <c r="A5" s="1083" t="s">
        <v>1609</v>
      </c>
      <c r="B5" s="1084">
        <v>2003</v>
      </c>
      <c r="C5" s="2100">
        <v>2025</v>
      </c>
      <c r="D5" s="1706" t="s">
        <v>1610</v>
      </c>
      <c r="E5" s="2101" t="s">
        <v>1611</v>
      </c>
      <c r="F5" s="1085" t="s">
        <v>1612</v>
      </c>
      <c r="H5" s="1086" t="s">
        <v>1613</v>
      </c>
      <c r="I5" s="1085" t="s">
        <v>92</v>
      </c>
      <c r="K5" s="1087" t="s">
        <v>1614</v>
      </c>
      <c r="L5" s="1088">
        <f>_xlfn.IFERROR(MATCH(K5,OFFER_METHOD,0),0)</f>
        <v>0</v>
      </c>
      <c r="M5" s="1087">
        <v>4</v>
      </c>
      <c r="N5" s="1101" t="s">
        <v>1615</v>
      </c>
      <c r="O5" s="1085" t="s">
        <v>1616</v>
      </c>
      <c r="Q5" s="1090" t="s">
        <v>1617</v>
      </c>
      <c r="R5" s="152" t="s">
        <v>1618</v>
      </c>
      <c r="T5" s="1086" t="s">
        <v>1619</v>
      </c>
      <c r="U5" s="1088" t="s">
        <v>1620</v>
      </c>
      <c r="V5" s="1092">
        <v>4</v>
      </c>
      <c r="W5" s="1093"/>
      <c r="X5" s="1093" t="s">
        <v>183</v>
      </c>
      <c r="Y5" s="1084" t="s">
        <v>1621</v>
      </c>
      <c r="Z5" s="1100">
        <v>1</v>
      </c>
      <c r="AF5" s="1086" t="s">
        <v>1622</v>
      </c>
      <c r="AH5" s="1085" t="s">
        <v>1623</v>
      </c>
      <c r="AK5" s="1085" t="s">
        <v>1624</v>
      </c>
      <c r="AM5" s="1085" t="s">
        <v>1625</v>
      </c>
      <c r="AP5" s="1096" t="s">
        <v>183</v>
      </c>
      <c r="AQ5" s="1097" t="s">
        <v>183</v>
      </c>
      <c r="AU5" s="1129" t="s">
        <v>1626</v>
      </c>
      <c r="AW5" s="1129" t="s">
        <v>1627</v>
      </c>
      <c r="AX5" s="1129" t="s">
        <v>1627</v>
      </c>
      <c r="AZ5" s="1129" t="s">
        <v>1628</v>
      </c>
      <c r="BB5" s="1129" t="s">
        <v>1629</v>
      </c>
      <c r="BC5" s="1129" t="s">
        <v>585</v>
      </c>
      <c r="BE5" s="1129">
        <v>2001</v>
      </c>
      <c r="BF5" s="1129" t="s">
        <v>1630</v>
      </c>
      <c r="BH5" s="1077" t="s">
        <v>1631</v>
      </c>
      <c r="BJ5" s="1077" t="s">
        <v>1631</v>
      </c>
      <c r="BL5" s="1077" t="s">
        <v>1631</v>
      </c>
      <c r="BN5" s="1077" t="s">
        <v>1632</v>
      </c>
      <c r="BQ5" s="1290">
        <v>4213775</v>
      </c>
      <c r="BR5" s="1077" t="s">
        <v>1531</v>
      </c>
      <c r="BS5" s="1438"/>
      <c r="BT5" s="1290">
        <v>64236871</v>
      </c>
      <c r="BU5" s="1077" t="s">
        <v>244</v>
      </c>
      <c r="BV5" s="1079"/>
      <c r="BW5" s="1703">
        <v>4213767</v>
      </c>
      <c r="BX5" s="1701" t="s">
        <v>1633</v>
      </c>
      <c r="BZ5" s="1290">
        <v>64237509</v>
      </c>
      <c r="CA5" s="1304" t="s">
        <v>1634</v>
      </c>
    </row>
    <row customHeight="1" ht="11.25">
      <c r="A6" s="1083" t="s">
        <v>1635</v>
      </c>
      <c r="B6" s="1084">
        <v>2004</v>
      </c>
      <c r="C6" s="2100">
        <v>2026</v>
      </c>
      <c r="D6" s="2102"/>
      <c r="E6" s="2101" t="s">
        <v>1636</v>
      </c>
      <c r="F6" s="1102"/>
      <c r="H6" s="1086" t="s">
        <v>1637</v>
      </c>
      <c r="I6" s="1085" t="s">
        <v>119</v>
      </c>
      <c r="J6" s="1076" t="s">
        <v>1638</v>
      </c>
      <c r="L6" s="1088">
        <f>SUM(kind_of_control_method_filter)</f>
        <v>0</v>
      </c>
      <c r="N6" s="1101" t="s">
        <v>1639</v>
      </c>
      <c r="O6" s="1085" t="s">
        <v>1640</v>
      </c>
      <c r="R6" s="152" t="s">
        <v>1526</v>
      </c>
      <c r="T6" s="1086" t="s">
        <v>1641</v>
      </c>
      <c r="U6" s="1088" t="s">
        <v>1622</v>
      </c>
      <c r="V6" s="1092">
        <v>5</v>
      </c>
      <c r="W6" s="1093"/>
      <c r="X6" s="1084" t="s">
        <v>189</v>
      </c>
      <c r="Y6" s="1084" t="s">
        <v>1642</v>
      </c>
      <c r="Z6" s="1100"/>
      <c r="AA6" s="1103"/>
      <c r="AH6" s="1085" t="s">
        <v>1643</v>
      </c>
      <c r="AK6" s="1085" t="s">
        <v>1644</v>
      </c>
      <c r="AM6" s="1085" t="s">
        <v>1645</v>
      </c>
      <c r="AP6" s="1096" t="s">
        <v>189</v>
      </c>
      <c r="AQ6" s="1097" t="s">
        <v>189</v>
      </c>
      <c r="AU6" s="1129" t="s">
        <v>1646</v>
      </c>
      <c r="AW6" s="1129" t="s">
        <v>1647</v>
      </c>
      <c r="AX6" s="1129" t="s">
        <v>1647</v>
      </c>
      <c r="BB6" s="1129" t="s">
        <v>1648</v>
      </c>
      <c r="BC6" s="1129" t="s">
        <v>585</v>
      </c>
      <c r="BE6" s="1129">
        <v>2002</v>
      </c>
      <c r="BF6" s="1129" t="s">
        <v>1177</v>
      </c>
      <c r="BH6" s="1077" t="s">
        <v>1649</v>
      </c>
      <c r="BJ6" s="1077" t="s">
        <v>1650</v>
      </c>
      <c r="BL6" s="1077" t="s">
        <v>1650</v>
      </c>
      <c r="BN6" s="1077" t="s">
        <v>1651</v>
      </c>
      <c r="BQ6" s="1290">
        <v>4213784</v>
      </c>
      <c r="BR6" s="1304" t="s">
        <v>1562</v>
      </c>
      <c r="BS6" s="1439"/>
      <c r="BT6" s="1290">
        <v>64236872</v>
      </c>
      <c r="BU6" s="1077" t="s">
        <v>249</v>
      </c>
      <c r="BV6" s="1079"/>
      <c r="BW6" s="1703">
        <v>4213768</v>
      </c>
      <c r="BX6" s="1701" t="s">
        <v>269</v>
      </c>
      <c r="BZ6" s="1290">
        <v>64237510</v>
      </c>
      <c r="CA6" s="1077" t="s">
        <v>1652</v>
      </c>
    </row>
    <row customHeight="1" ht="11.25">
      <c r="A7" s="1083" t="s">
        <v>1653</v>
      </c>
      <c r="B7" s="1084">
        <v>2005</v>
      </c>
      <c r="E7" s="1085" t="s">
        <v>1654</v>
      </c>
      <c r="F7" s="1102"/>
      <c r="H7" s="1086" t="s">
        <v>1655</v>
      </c>
      <c r="I7" s="1085" t="s">
        <v>93</v>
      </c>
      <c r="J7" s="1085" t="s">
        <v>1656</v>
      </c>
      <c r="N7" s="1105" t="s">
        <v>1657</v>
      </c>
      <c r="O7" s="1085" t="s">
        <v>1658</v>
      </c>
      <c r="U7" s="1088" t="s">
        <v>19</v>
      </c>
      <c r="V7" s="379" t="s">
        <v>93</v>
      </c>
      <c r="W7" s="1093"/>
      <c r="X7" s="1084" t="s">
        <v>195</v>
      </c>
      <c r="Y7" s="1084" t="s">
        <v>1621</v>
      </c>
      <c r="Z7" s="1100"/>
      <c r="AA7" s="1103"/>
      <c r="AH7" s="1085" t="s">
        <v>1659</v>
      </c>
      <c r="AK7" s="1085" t="s">
        <v>1660</v>
      </c>
      <c r="AM7" s="1085" t="s">
        <v>1661</v>
      </c>
      <c r="AP7" s="1096" t="s">
        <v>195</v>
      </c>
      <c r="AQ7" s="1097" t="s">
        <v>195</v>
      </c>
      <c r="AU7" s="1129" t="s">
        <v>1662</v>
      </c>
      <c r="AW7" s="1129" t="s">
        <v>1663</v>
      </c>
      <c r="AX7" s="1129" t="s">
        <v>1663</v>
      </c>
      <c r="AZ7" s="1076" t="s">
        <v>1664</v>
      </c>
      <c r="BB7" s="1129" t="s">
        <v>586</v>
      </c>
      <c r="BC7" s="1129" t="s">
        <v>585</v>
      </c>
      <c r="BE7" s="1129">
        <v>2003</v>
      </c>
      <c r="BF7" s="1129" t="s">
        <v>1235</v>
      </c>
      <c r="BH7" s="1077" t="s">
        <v>1081</v>
      </c>
      <c r="BJ7" s="1077" t="s">
        <v>1649</v>
      </c>
      <c r="BL7" s="1077" t="s">
        <v>1649</v>
      </c>
      <c r="BN7" s="1077" t="s">
        <v>1665</v>
      </c>
      <c r="BQ7" s="1290">
        <v>4213781</v>
      </c>
      <c r="BR7" s="1077" t="s">
        <v>1555</v>
      </c>
      <c r="BS7" s="1438"/>
      <c r="BT7" s="1290">
        <v>64236873</v>
      </c>
      <c r="BU7" s="1077" t="s">
        <v>254</v>
      </c>
      <c r="BV7" s="1079"/>
      <c r="BW7" s="1703">
        <v>4213769</v>
      </c>
      <c r="BX7" s="1701" t="s">
        <v>1666</v>
      </c>
      <c r="BZ7" s="1290">
        <v>64237511</v>
      </c>
      <c r="CA7" s="1077" t="s">
        <v>284</v>
      </c>
    </row>
    <row customHeight="1" ht="11.25">
      <c r="A8" s="1083" t="s">
        <v>1667</v>
      </c>
      <c r="B8" s="1084">
        <v>2006</v>
      </c>
      <c r="E8" s="1085" t="s">
        <v>1668</v>
      </c>
      <c r="F8" s="1102"/>
      <c r="H8" s="1086" t="s">
        <v>1669</v>
      </c>
      <c r="I8" s="1085" t="s">
        <v>94</v>
      </c>
      <c r="J8" s="1085" t="s">
        <v>1670</v>
      </c>
      <c r="N8" s="1172" t="s">
        <v>1671</v>
      </c>
      <c r="O8" s="1085" t="s">
        <v>1672</v>
      </c>
      <c r="V8" s="379" t="s">
        <v>94</v>
      </c>
      <c r="W8" s="1093"/>
      <c r="X8" s="1084" t="s">
        <v>201</v>
      </c>
      <c r="Y8" s="1084" t="s">
        <v>1621</v>
      </c>
      <c r="Z8" s="1100"/>
      <c r="AA8" s="1103"/>
      <c r="AK8" s="1085" t="s">
        <v>1673</v>
      </c>
      <c r="AP8" s="1096" t="s">
        <v>201</v>
      </c>
      <c r="AQ8" s="1097" t="s">
        <v>201</v>
      </c>
      <c r="AU8" s="1129" t="s">
        <v>1674</v>
      </c>
      <c r="AW8" s="1129" t="s">
        <v>1675</v>
      </c>
      <c r="AX8" s="1129" t="s">
        <v>1675</v>
      </c>
      <c r="AZ8" s="1129" t="s">
        <v>1676</v>
      </c>
      <c r="BB8" s="1129" t="s">
        <v>1677</v>
      </c>
      <c r="BC8" s="1129" t="s">
        <v>585</v>
      </c>
      <c r="BE8" s="1129">
        <v>2004</v>
      </c>
      <c r="BF8" s="1129" t="s">
        <v>1086</v>
      </c>
      <c r="BH8" s="1077" t="s">
        <v>1678</v>
      </c>
      <c r="BJ8" s="1077" t="s">
        <v>1679</v>
      </c>
      <c r="BL8" s="1077" t="s">
        <v>1679</v>
      </c>
      <c r="BN8" s="1077" t="s">
        <v>1680</v>
      </c>
      <c r="BQ8" s="1290">
        <v>4213776</v>
      </c>
      <c r="BR8" s="1077" t="s">
        <v>183</v>
      </c>
      <c r="BS8" s="1438"/>
      <c r="BT8" s="1290">
        <v>64236874</v>
      </c>
      <c r="BU8" s="1304" t="s">
        <v>1681</v>
      </c>
      <c r="BV8" s="1079"/>
      <c r="BW8" s="1703">
        <v>4213770</v>
      </c>
      <c r="BX8" s="1704" t="s">
        <v>1682</v>
      </c>
      <c r="BZ8" s="1290">
        <v>64237512</v>
      </c>
      <c r="CA8" s="1077" t="s">
        <v>279</v>
      </c>
    </row>
    <row customHeight="1" ht="11.25">
      <c r="A9" s="1083" t="s">
        <v>1683</v>
      </c>
      <c r="B9" s="1084">
        <v>2007</v>
      </c>
      <c r="E9" s="1085" t="s">
        <v>1684</v>
      </c>
      <c r="F9" s="2103" t="s">
        <v>1685</v>
      </c>
      <c r="G9" s="1076" t="s">
        <v>1686</v>
      </c>
      <c r="H9" s="1076" t="s">
        <v>1687</v>
      </c>
      <c r="I9" s="1085" t="s">
        <v>120</v>
      </c>
      <c r="O9" s="1085" t="s">
        <v>1688</v>
      </c>
      <c r="V9" s="379" t="s">
        <v>120</v>
      </c>
      <c r="W9" s="1093"/>
      <c r="X9" s="1084" t="s">
        <v>207</v>
      </c>
      <c r="Y9" s="1084" t="s">
        <v>1532</v>
      </c>
      <c r="Z9" s="1100">
        <v>1</v>
      </c>
      <c r="AA9" s="1103"/>
      <c r="AK9" s="1085" t="s">
        <v>1689</v>
      </c>
      <c r="AP9" s="1096" t="s">
        <v>1690</v>
      </c>
      <c r="AQ9" s="1097" t="s">
        <v>1690</v>
      </c>
      <c r="AW9" s="1129" t="s">
        <v>1691</v>
      </c>
      <c r="AX9" s="1129" t="s">
        <v>1691</v>
      </c>
      <c r="AZ9" s="1129" t="s">
        <v>1692</v>
      </c>
      <c r="BB9" s="1129" t="s">
        <v>587</v>
      </c>
      <c r="BC9" s="1129" t="s">
        <v>585</v>
      </c>
      <c r="BE9" s="1129">
        <v>2005</v>
      </c>
      <c r="BF9" s="1129" t="s">
        <v>1693</v>
      </c>
      <c r="BH9" s="1077" t="s">
        <v>1091</v>
      </c>
      <c r="BJ9" s="1077" t="s">
        <v>1694</v>
      </c>
      <c r="BL9" s="1077" t="s">
        <v>1694</v>
      </c>
      <c r="BN9" s="1077" t="s">
        <v>1695</v>
      </c>
      <c r="BQ9" s="1290">
        <v>4213777</v>
      </c>
      <c r="BR9" s="1077" t="s">
        <v>189</v>
      </c>
      <c r="BS9" s="1438"/>
      <c r="BT9" s="1290">
        <v>64236875</v>
      </c>
      <c r="BU9" s="1077" t="s">
        <v>259</v>
      </c>
      <c r="BV9" s="1079"/>
      <c r="BW9" s="1698"/>
      <c r="BX9" s="1698"/>
    </row>
    <row customHeight="1" ht="11.25">
      <c r="A10" s="1083" t="s">
        <v>1696</v>
      </c>
      <c r="B10" s="1084">
        <v>2008</v>
      </c>
      <c r="E10" s="1087" t="s">
        <v>1697</v>
      </c>
      <c r="F10" s="2104" t="s">
        <v>1698</v>
      </c>
      <c r="G10" s="2101" t="s">
        <v>1699</v>
      </c>
      <c r="H10" s="1085" t="s">
        <v>1700</v>
      </c>
      <c r="I10" s="1085" t="s">
        <v>165</v>
      </c>
      <c r="J10" s="1076" t="s">
        <v>1701</v>
      </c>
      <c r="K10" s="1076" t="s">
        <v>1702</v>
      </c>
      <c r="O10" s="1085" t="s">
        <v>1703</v>
      </c>
      <c r="V10" s="380" t="s">
        <v>165</v>
      </c>
      <c r="W10" s="1106"/>
      <c r="X10" s="1106" t="s">
        <v>1704</v>
      </c>
      <c r="Y10" s="1107" t="s">
        <v>1705</v>
      </c>
      <c r="Z10" s="1100"/>
      <c r="AP10" s="1096" t="s">
        <v>1704</v>
      </c>
      <c r="AQ10" s="1097" t="s">
        <v>1704</v>
      </c>
      <c r="AW10" s="1129" t="s">
        <v>1706</v>
      </c>
      <c r="AX10" s="1129" t="s">
        <v>1706</v>
      </c>
      <c r="AZ10" s="1129" t="s">
        <v>1421</v>
      </c>
      <c r="BB10" s="1129" t="s">
        <v>1707</v>
      </c>
      <c r="BC10" s="1129" t="s">
        <v>585</v>
      </c>
      <c r="BE10" s="1129">
        <v>2006</v>
      </c>
      <c r="BF10" s="1129" t="s">
        <v>1208</v>
      </c>
      <c r="BH10" s="1077" t="s">
        <v>1164</v>
      </c>
      <c r="BJ10" s="1077" t="s">
        <v>1708</v>
      </c>
      <c r="BL10" s="1077" t="s">
        <v>1708</v>
      </c>
      <c r="BN10" s="1077" t="s">
        <v>1709</v>
      </c>
      <c r="BQ10" s="1290">
        <v>4213778</v>
      </c>
      <c r="BR10" s="1077" t="s">
        <v>195</v>
      </c>
      <c r="BS10" s="1438"/>
      <c r="BT10" s="1290">
        <v>64236876</v>
      </c>
      <c r="BU10" s="1077" t="s">
        <v>239</v>
      </c>
      <c r="BV10" s="1079"/>
      <c r="BW10" s="1698"/>
      <c r="BX10" s="1698"/>
    </row>
    <row customHeight="1" ht="11.25">
      <c r="A11" s="1083" t="s">
        <v>1710</v>
      </c>
      <c r="B11" s="1084">
        <v>2009</v>
      </c>
      <c r="E11" s="1087" t="s">
        <v>1711</v>
      </c>
      <c r="F11" s="2104" t="s">
        <v>1712</v>
      </c>
      <c r="G11" s="2101" t="s">
        <v>1713</v>
      </c>
      <c r="H11" s="1085" t="s">
        <v>1714</v>
      </c>
      <c r="I11" s="1085" t="s">
        <v>166</v>
      </c>
      <c r="J11" s="1086" t="s">
        <v>1715</v>
      </c>
      <c r="K11" s="1108" t="s">
        <v>1716</v>
      </c>
      <c r="O11" s="1086" t="s">
        <v>1717</v>
      </c>
      <c r="V11" s="379" t="s">
        <v>166</v>
      </c>
      <c r="W11" s="284"/>
      <c r="X11" s="1093" t="s">
        <v>1690</v>
      </c>
      <c r="Y11" s="1084" t="s">
        <v>1718</v>
      </c>
      <c r="Z11" s="1100"/>
      <c r="AP11" s="1096" t="s">
        <v>207</v>
      </c>
      <c r="AQ11" s="1098" t="s">
        <v>207</v>
      </c>
      <c r="AW11" s="1129" t="s">
        <v>1719</v>
      </c>
      <c r="AX11" s="1129" t="s">
        <v>1719</v>
      </c>
      <c r="AZ11" s="1129" t="s">
        <v>1720</v>
      </c>
      <c r="BB11" s="1129" t="s">
        <v>584</v>
      </c>
      <c r="BC11" s="1129" t="s">
        <v>585</v>
      </c>
      <c r="BE11" s="1129">
        <v>2007</v>
      </c>
      <c r="BF11" s="1129" t="s">
        <v>1721</v>
      </c>
      <c r="BH11" s="1077" t="s">
        <v>1722</v>
      </c>
      <c r="BJ11" s="1077" t="s">
        <v>1091</v>
      </c>
      <c r="BL11" s="1077" t="s">
        <v>1091</v>
      </c>
      <c r="BN11" s="1077" t="s">
        <v>1270</v>
      </c>
      <c r="BQ11" s="1290">
        <v>4213780</v>
      </c>
      <c r="BR11" s="1077" t="s">
        <v>201</v>
      </c>
      <c r="BS11" s="1438"/>
      <c r="BW11" s="1698"/>
      <c r="BX11" s="1698"/>
    </row>
    <row customHeight="1" ht="11.25">
      <c r="A12" s="1083" t="s">
        <v>1723</v>
      </c>
      <c r="B12" s="1084">
        <v>2010</v>
      </c>
      <c r="E12" s="1087" t="s">
        <v>1724</v>
      </c>
      <c r="F12" s="2104" t="s">
        <v>1725</v>
      </c>
      <c r="G12" s="2101" t="s">
        <v>1714</v>
      </c>
      <c r="I12" s="1085" t="s">
        <v>167</v>
      </c>
      <c r="J12" s="1086" t="s">
        <v>1726</v>
      </c>
      <c r="K12" s="1108" t="s">
        <v>1727</v>
      </c>
      <c r="O12" s="1086" t="s">
        <v>1526</v>
      </c>
      <c r="V12" s="379" t="s">
        <v>167</v>
      </c>
      <c r="W12" s="1098"/>
      <c r="X12" s="1093" t="s">
        <v>1728</v>
      </c>
      <c r="Y12" s="1084" t="s">
        <v>1532</v>
      </c>
      <c r="AP12" s="1096"/>
      <c r="AW12" s="1129" t="s">
        <v>166</v>
      </c>
      <c r="AX12" s="1129" t="s">
        <v>166</v>
      </c>
      <c r="AZ12" s="1129" t="s">
        <v>1729</v>
      </c>
      <c r="BB12" s="1129" t="s">
        <v>1730</v>
      </c>
      <c r="BC12" s="1129" t="s">
        <v>585</v>
      </c>
      <c r="BE12" s="1129">
        <v>2008</v>
      </c>
      <c r="BF12" s="1129" t="s">
        <v>1194</v>
      </c>
      <c r="BH12" s="1077" t="s">
        <v>1731</v>
      </c>
      <c r="BJ12" s="1077" t="s">
        <v>1732</v>
      </c>
      <c r="BL12" s="1077" t="s">
        <v>1732</v>
      </c>
      <c r="BN12" s="1077" t="s">
        <v>1733</v>
      </c>
      <c r="BQ12" s="1290">
        <v>4213779</v>
      </c>
      <c r="BR12" s="1077" t="s">
        <v>1690</v>
      </c>
      <c r="BS12" s="1438"/>
      <c r="BT12" s="1079"/>
      <c r="BU12" s="1079"/>
      <c r="BV12" s="1079"/>
      <c r="BW12" s="1698"/>
      <c r="BX12" s="1698"/>
    </row>
    <row customHeight="1" ht="11.25">
      <c r="A13" s="1083" t="s">
        <v>1734</v>
      </c>
      <c r="B13" s="1084">
        <v>2011</v>
      </c>
      <c r="E13" s="1085" t="s">
        <v>1735</v>
      </c>
      <c r="F13" s="1102"/>
      <c r="I13" s="1085" t="s">
        <v>168</v>
      </c>
      <c r="K13" s="1108" t="s">
        <v>1689</v>
      </c>
      <c r="V13" s="379" t="s">
        <v>168</v>
      </c>
      <c r="W13" s="1098"/>
      <c r="X13" s="1098"/>
      <c r="Y13" s="1098"/>
      <c r="AW13" s="1129" t="s">
        <v>167</v>
      </c>
      <c r="AX13" s="1129" t="s">
        <v>167</v>
      </c>
      <c r="BB13" s="1129" t="s">
        <v>1736</v>
      </c>
      <c r="BC13" s="1129" t="s">
        <v>1737</v>
      </c>
      <c r="BE13" s="1129">
        <v>2009</v>
      </c>
      <c r="BF13" s="1129" t="s">
        <v>1094</v>
      </c>
      <c r="BH13" s="1077" t="s">
        <v>1738</v>
      </c>
      <c r="BJ13" s="1077" t="s">
        <v>1722</v>
      </c>
      <c r="BL13" s="1077" t="s">
        <v>1722</v>
      </c>
      <c r="BN13" s="1077" t="s">
        <v>1739</v>
      </c>
      <c r="BQ13" s="1290">
        <v>4213783</v>
      </c>
      <c r="BR13" s="1077" t="s">
        <v>1704</v>
      </c>
      <c r="BS13" s="1438"/>
      <c r="BT13" s="1079"/>
      <c r="BU13" s="1079"/>
      <c r="BV13" s="1079"/>
      <c r="BW13" s="1702"/>
      <c r="BX13" s="1698"/>
    </row>
    <row customHeight="1" ht="11.25">
      <c r="A14" s="1083" t="s">
        <v>1740</v>
      </c>
      <c r="B14" s="1084">
        <v>2012</v>
      </c>
      <c r="I14" s="1085" t="s">
        <v>169</v>
      </c>
      <c r="J14" s="1076" t="s">
        <v>1741</v>
      </c>
      <c r="N14" s="1076" t="s">
        <v>1742</v>
      </c>
      <c r="V14" s="1092">
        <v>13</v>
      </c>
      <c r="W14" s="1093"/>
      <c r="X14" s="1093" t="s">
        <v>1562</v>
      </c>
      <c r="Y14" s="1084" t="s">
        <v>1532</v>
      </c>
      <c r="AW14" s="1129" t="s">
        <v>168</v>
      </c>
      <c r="AX14" s="1129" t="s">
        <v>168</v>
      </c>
      <c r="AZ14" s="1076" t="s">
        <v>1743</v>
      </c>
      <c r="BB14" s="1129" t="s">
        <v>1744</v>
      </c>
      <c r="BC14" s="1129" t="s">
        <v>1737</v>
      </c>
      <c r="BE14" s="1129">
        <v>2010</v>
      </c>
      <c r="BF14" s="1129" t="s">
        <v>1145</v>
      </c>
      <c r="BH14" s="1077" t="s">
        <v>1665</v>
      </c>
      <c r="BJ14" s="1226" t="s">
        <v>1745</v>
      </c>
      <c r="BL14" s="1226" t="s">
        <v>1745</v>
      </c>
      <c r="BN14" s="1077" t="s">
        <v>1746</v>
      </c>
      <c r="BQ14" s="1290">
        <v>4213782</v>
      </c>
      <c r="BR14" s="1077" t="s">
        <v>207</v>
      </c>
      <c r="BS14" s="1438"/>
      <c r="BT14" s="1079"/>
      <c r="BU14" s="1079"/>
      <c r="BV14" s="1079"/>
      <c r="BW14" s="1702"/>
      <c r="BX14" s="1698"/>
    </row>
    <row customHeight="1" ht="19.5">
      <c r="A15" s="1083" t="s">
        <v>1747</v>
      </c>
      <c r="B15" s="1084">
        <v>2013</v>
      </c>
      <c r="E15" s="1706" t="s">
        <v>1748</v>
      </c>
      <c r="G15" s="1076" t="s">
        <v>1749</v>
      </c>
      <c r="H15" s="1076" t="s">
        <v>1750</v>
      </c>
      <c r="I15" s="1087" t="s">
        <v>170</v>
      </c>
      <c r="J15" s="1098" t="s">
        <v>604</v>
      </c>
      <c r="N15" s="1167" t="s">
        <v>1751</v>
      </c>
      <c r="X15" s="1096"/>
      <c r="AW15" s="1129" t="s">
        <v>169</v>
      </c>
      <c r="AX15" s="1129" t="s">
        <v>169</v>
      </c>
      <c r="AZ15" s="1129" t="s">
        <v>1676</v>
      </c>
      <c r="BB15" s="1129" t="s">
        <v>1752</v>
      </c>
      <c r="BC15" s="1129" t="s">
        <v>1737</v>
      </c>
      <c r="BE15" s="1129">
        <v>2011</v>
      </c>
      <c r="BF15" s="1129" t="s">
        <v>1072</v>
      </c>
      <c r="BH15" s="1077" t="s">
        <v>1680</v>
      </c>
      <c r="BJ15" s="1226" t="s">
        <v>1753</v>
      </c>
      <c r="BL15" s="1226" t="s">
        <v>1753</v>
      </c>
      <c r="BN15" s="1077" t="s">
        <v>1754</v>
      </c>
      <c r="BR15" s="1079"/>
      <c r="BS15" s="1440"/>
      <c r="BT15" s="1079"/>
      <c r="BU15" s="1079"/>
      <c r="BV15" s="1079"/>
      <c r="BW15" s="1702"/>
      <c r="BX15" s="1698"/>
    </row>
    <row customHeight="1" ht="21">
      <c r="A16" s="1876" t="s">
        <v>1755</v>
      </c>
      <c r="B16" s="1084">
        <v>2014</v>
      </c>
      <c r="E16" s="1707" t="s">
        <v>1756</v>
      </c>
      <c r="G16" s="1085" t="s">
        <v>1757</v>
      </c>
      <c r="H16" s="1085" t="s">
        <v>1758</v>
      </c>
      <c r="I16" s="1087" t="s">
        <v>1121</v>
      </c>
      <c r="J16" s="1098" t="s">
        <v>569</v>
      </c>
      <c r="N16" s="1167" t="s">
        <v>1759</v>
      </c>
      <c r="AW16" s="1129" t="s">
        <v>170</v>
      </c>
      <c r="AX16" s="1129" t="s">
        <v>170</v>
      </c>
      <c r="AZ16" s="1129" t="s">
        <v>1692</v>
      </c>
      <c r="BB16" s="1129" t="s">
        <v>1760</v>
      </c>
      <c r="BC16" s="1129" t="s">
        <v>1737</v>
      </c>
      <c r="BE16" s="1129">
        <v>2012</v>
      </c>
      <c r="BH16" s="1077" t="s">
        <v>1695</v>
      </c>
      <c r="BJ16" s="1226" t="s">
        <v>1761</v>
      </c>
      <c r="BL16" s="1226" t="s">
        <v>1761</v>
      </c>
      <c r="BN16" s="1077" t="s">
        <v>1762</v>
      </c>
      <c r="BR16" s="1079"/>
      <c r="BS16" s="1440"/>
      <c r="BT16" s="1079"/>
      <c r="BU16" s="1079"/>
      <c r="BV16" s="1079"/>
      <c r="BW16" s="1702"/>
      <c r="BX16" s="1698"/>
    </row>
    <row customHeight="1" ht="21">
      <c r="A17" s="1083" t="s">
        <v>1763</v>
      </c>
      <c r="B17" s="1084">
        <v>2015</v>
      </c>
      <c r="G17" s="1085" t="s">
        <v>1714</v>
      </c>
      <c r="H17" s="1085" t="s">
        <v>1714</v>
      </c>
      <c r="I17" s="1085" t="s">
        <v>1123</v>
      </c>
      <c r="N17" s="1167" t="s">
        <v>1764</v>
      </c>
      <c r="X17" s="1096"/>
      <c r="AW17" s="1129" t="s">
        <v>1121</v>
      </c>
      <c r="AX17" s="1129" t="s">
        <v>1121</v>
      </c>
      <c r="AZ17" s="1129" t="s">
        <v>68</v>
      </c>
      <c r="BB17" s="1129" t="s">
        <v>1765</v>
      </c>
      <c r="BC17" s="1129" t="s">
        <v>585</v>
      </c>
      <c r="BE17" s="1129">
        <v>2013</v>
      </c>
      <c r="BH17" s="1077" t="s">
        <v>1709</v>
      </c>
      <c r="BJ17" s="1226" t="s">
        <v>1766</v>
      </c>
      <c r="BL17" s="1226" t="s">
        <v>1766</v>
      </c>
      <c r="BN17" s="1077" t="s">
        <v>1767</v>
      </c>
      <c r="BR17" s="1076" t="s">
        <v>1572</v>
      </c>
      <c r="BS17" s="1437"/>
      <c r="BU17" s="1076" t="s">
        <v>1768</v>
      </c>
      <c r="BV17" s="1079"/>
      <c r="BW17" s="1698"/>
      <c r="BX17" s="1700" t="s">
        <v>1769</v>
      </c>
      <c r="CA17" s="1076" t="s">
        <v>1770</v>
      </c>
      <c r="CD17" s="1076" t="s">
        <v>1771</v>
      </c>
    </row>
    <row customHeight="1" ht="21">
      <c r="A18" s="1083" t="s">
        <v>1772</v>
      </c>
      <c r="B18" s="1084">
        <v>2016</v>
      </c>
      <c r="E18" s="2011" t="s">
        <v>1773</v>
      </c>
      <c r="I18" s="1085" t="s">
        <v>1126</v>
      </c>
      <c r="N18" s="1167" t="s">
        <v>1774</v>
      </c>
      <c r="X18" s="1096"/>
      <c r="AW18" s="1129" t="s">
        <v>1123</v>
      </c>
      <c r="AX18" s="1129" t="s">
        <v>1123</v>
      </c>
      <c r="BB18" s="1129" t="s">
        <v>1775</v>
      </c>
      <c r="BC18" s="1129" t="s">
        <v>585</v>
      </c>
      <c r="BE18" s="1129">
        <v>2014</v>
      </c>
      <c r="BH18" s="1077" t="s">
        <v>1270</v>
      </c>
      <c r="BJ18" s="1226" t="s">
        <v>1776</v>
      </c>
      <c r="BL18" s="1226" t="s">
        <v>1776</v>
      </c>
      <c r="BN18" s="1077" t="s">
        <v>1125</v>
      </c>
      <c r="BQ18" s="1441" t="s">
        <v>1601</v>
      </c>
      <c r="BR18" s="1168" t="s">
        <v>1602</v>
      </c>
      <c r="BS18" s="283"/>
      <c r="BT18" s="1441" t="s">
        <v>1777</v>
      </c>
      <c r="BU18" s="1168" t="s">
        <v>1778</v>
      </c>
      <c r="BV18" s="1079"/>
      <c r="BW18" s="1705" t="s">
        <v>1779</v>
      </c>
      <c r="BX18" s="1699" t="s">
        <v>1780</v>
      </c>
      <c r="BZ18" s="1441" t="s">
        <v>1781</v>
      </c>
      <c r="CA18" s="1168" t="s">
        <v>1782</v>
      </c>
      <c r="CC18" s="1441" t="s">
        <v>1783</v>
      </c>
      <c r="CD18" s="1168" t="s">
        <v>1784</v>
      </c>
    </row>
    <row customHeight="1" ht="21">
      <c r="A19" s="1876" t="s">
        <v>1785</v>
      </c>
      <c r="B19" s="1084">
        <v>2017</v>
      </c>
      <c r="E19" s="1083" t="s">
        <v>182</v>
      </c>
      <c r="I19" s="1085" t="s">
        <v>1128</v>
      </c>
      <c r="N19" s="1167" t="s">
        <v>1786</v>
      </c>
      <c r="X19" s="1096"/>
      <c r="AW19" s="1129" t="s">
        <v>1126</v>
      </c>
      <c r="AX19" s="1129" t="s">
        <v>1126</v>
      </c>
      <c r="AZ19" s="1076" t="s">
        <v>1787</v>
      </c>
      <c r="BB19" s="1129" t="s">
        <v>1788</v>
      </c>
      <c r="BC19" s="1129" t="s">
        <v>585</v>
      </c>
      <c r="BE19" s="1129">
        <v>2015</v>
      </c>
      <c r="BH19" s="1077" t="s">
        <v>1789</v>
      </c>
      <c r="BJ19" s="1226" t="s">
        <v>1790</v>
      </c>
      <c r="BL19" s="1226" t="s">
        <v>1790</v>
      </c>
      <c r="BQ19" s="1290">
        <v>4190064</v>
      </c>
      <c r="BR19" s="1077" t="s">
        <v>1791</v>
      </c>
      <c r="BS19" s="1438"/>
      <c r="BT19" s="1290">
        <v>4189671</v>
      </c>
      <c r="BU19" s="1077" t="s">
        <v>1792</v>
      </c>
      <c r="BV19" s="1079"/>
      <c r="BW19" s="1703">
        <v>4189706</v>
      </c>
      <c r="BX19" s="1701" t="s">
        <v>1793</v>
      </c>
      <c r="BZ19" s="1290">
        <v>4189714</v>
      </c>
      <c r="CA19" s="1077" t="s">
        <v>1794</v>
      </c>
      <c r="CC19" s="1290">
        <v>4189708</v>
      </c>
      <c r="CD19" s="1077" t="s">
        <v>1795</v>
      </c>
    </row>
    <row customHeight="1" ht="21">
      <c r="A20" s="1083" t="s">
        <v>1796</v>
      </c>
      <c r="B20" s="1084">
        <v>2018</v>
      </c>
      <c r="E20" s="1083" t="s">
        <v>1562</v>
      </c>
      <c r="I20" s="1085" t="s">
        <v>1130</v>
      </c>
      <c r="N20" s="1167" t="s">
        <v>1797</v>
      </c>
      <c r="AW20" s="1129" t="s">
        <v>1128</v>
      </c>
      <c r="AX20" s="1129" t="s">
        <v>1128</v>
      </c>
      <c r="AZ20" s="1129" t="s">
        <v>1798</v>
      </c>
      <c r="BB20" s="1129" t="s">
        <v>1799</v>
      </c>
      <c r="BC20" s="1129" t="s">
        <v>1737</v>
      </c>
      <c r="BE20" s="1129">
        <v>2016</v>
      </c>
      <c r="BH20" s="1077" t="s">
        <v>1733</v>
      </c>
      <c r="BJ20" s="1077" t="s">
        <v>1665</v>
      </c>
      <c r="BL20" s="1077" t="s">
        <v>1665</v>
      </c>
      <c r="BQ20" s="1290">
        <v>4190065</v>
      </c>
      <c r="BR20" s="1077" t="s">
        <v>1800</v>
      </c>
      <c r="BS20" s="1438"/>
      <c r="BT20" s="1290">
        <v>4189672</v>
      </c>
      <c r="BU20" s="1077" t="s">
        <v>1801</v>
      </c>
      <c r="BV20" s="1079"/>
      <c r="BW20" s="1703">
        <v>4189705</v>
      </c>
      <c r="BX20" s="1701" t="s">
        <v>1802</v>
      </c>
      <c r="BZ20" s="1290">
        <v>4189713</v>
      </c>
      <c r="CA20" s="1077" t="s">
        <v>1802</v>
      </c>
      <c r="CC20" s="1290">
        <v>4189709</v>
      </c>
      <c r="CD20" s="1077" t="s">
        <v>1803</v>
      </c>
    </row>
    <row customHeight="1" ht="21">
      <c r="A21" s="1083" t="s">
        <v>1804</v>
      </c>
      <c r="B21" s="1084">
        <v>2019</v>
      </c>
      <c r="I21" s="1085" t="s">
        <v>1132</v>
      </c>
      <c r="N21" s="1167" t="s">
        <v>1805</v>
      </c>
      <c r="AW21" s="1129" t="s">
        <v>1130</v>
      </c>
      <c r="AX21" s="1129" t="s">
        <v>1130</v>
      </c>
      <c r="AZ21" s="1129" t="s">
        <v>1806</v>
      </c>
      <c r="BB21" s="1129" t="s">
        <v>1807</v>
      </c>
      <c r="BC21" s="1129" t="s">
        <v>585</v>
      </c>
      <c r="BE21" s="1129">
        <v>2017</v>
      </c>
      <c r="BH21" s="1077" t="s">
        <v>1739</v>
      </c>
      <c r="BJ21" s="1077" t="s">
        <v>1680</v>
      </c>
      <c r="BL21" s="1077" t="s">
        <v>1680</v>
      </c>
      <c r="BQ21" s="1290">
        <v>4190066</v>
      </c>
      <c r="BR21" s="1077" t="s">
        <v>1808</v>
      </c>
      <c r="BS21" s="1438"/>
      <c r="BT21" s="1290">
        <v>4189673</v>
      </c>
      <c r="BU21" s="1077" t="s">
        <v>1809</v>
      </c>
      <c r="BV21" s="1079"/>
      <c r="BW21" s="1703">
        <v>4189707</v>
      </c>
      <c r="BX21" s="1701" t="s">
        <v>1810</v>
      </c>
      <c r="BZ21" s="1290">
        <v>4189712</v>
      </c>
      <c r="CA21" s="1077" t="s">
        <v>1811</v>
      </c>
      <c r="CC21" s="1290">
        <v>4189710</v>
      </c>
      <c r="CD21" s="1077" t="s">
        <v>1812</v>
      </c>
    </row>
    <row customHeight="1" ht="21">
      <c r="A22" s="1083" t="s">
        <v>1813</v>
      </c>
      <c r="B22" s="1084">
        <v>2020</v>
      </c>
      <c r="N22" s="1167" t="s">
        <v>1814</v>
      </c>
      <c r="AW22" s="1129" t="s">
        <v>1132</v>
      </c>
      <c r="AX22" s="1129" t="s">
        <v>1132</v>
      </c>
      <c r="AZ22" s="1129" t="s">
        <v>1815</v>
      </c>
      <c r="BB22" s="1129" t="s">
        <v>1816</v>
      </c>
      <c r="BC22" s="1129" t="s">
        <v>585</v>
      </c>
      <c r="BE22" s="1129">
        <v>2018</v>
      </c>
      <c r="BH22" s="1077" t="s">
        <v>1746</v>
      </c>
      <c r="BJ22" s="1077" t="s">
        <v>1695</v>
      </c>
      <c r="BL22" s="1077" t="s">
        <v>1695</v>
      </c>
      <c r="BQ22" s="1290">
        <v>4190067</v>
      </c>
      <c r="BR22" s="1077" t="s">
        <v>1817</v>
      </c>
      <c r="BS22" s="1438"/>
      <c r="BT22" s="1290">
        <v>4189674</v>
      </c>
      <c r="BU22" s="1077" t="s">
        <v>1818</v>
      </c>
      <c r="BV22" s="1079"/>
      <c r="BW22" s="1079"/>
      <c r="CC22" s="1290">
        <v>4189711</v>
      </c>
      <c r="CD22" s="1077" t="s">
        <v>308</v>
      </c>
    </row>
    <row customHeight="1" ht="21">
      <c r="A23" s="1083" t="s">
        <v>1819</v>
      </c>
      <c r="B23" s="1084">
        <v>2021</v>
      </c>
      <c r="AW23" s="1129" t="s">
        <v>1134</v>
      </c>
      <c r="AX23" s="1129" t="s">
        <v>1134</v>
      </c>
      <c r="AZ23" s="1129" t="s">
        <v>1820</v>
      </c>
      <c r="BB23" s="1129" t="s">
        <v>1821</v>
      </c>
      <c r="BC23" s="1129" t="s">
        <v>583</v>
      </c>
      <c r="BE23" s="1129">
        <v>2019</v>
      </c>
      <c r="BH23" s="1077" t="s">
        <v>1754</v>
      </c>
      <c r="BJ23" s="1077" t="s">
        <v>1709</v>
      </c>
      <c r="BL23" s="1077" t="s">
        <v>1709</v>
      </c>
      <c r="BQ23" s="1290">
        <v>4190068</v>
      </c>
      <c r="BR23" s="1077" t="s">
        <v>1822</v>
      </c>
      <c r="BS23" s="1438"/>
      <c r="BT23" s="1290">
        <v>4189675</v>
      </c>
      <c r="BU23" s="1077" t="s">
        <v>1823</v>
      </c>
      <c r="BV23" s="1079"/>
      <c r="BW23" s="1079"/>
      <c r="CC23" s="1290">
        <v>5110778</v>
      </c>
      <c r="CD23" s="1077" t="s">
        <v>1824</v>
      </c>
    </row>
    <row customHeight="1" ht="21">
      <c r="A24" s="1083" t="s">
        <v>1825</v>
      </c>
      <c r="B24" s="1084">
        <v>2022</v>
      </c>
      <c r="AW24" s="1129" t="s">
        <v>1080</v>
      </c>
      <c r="AX24" s="1129" t="s">
        <v>1080</v>
      </c>
      <c r="AZ24" s="1129" t="s">
        <v>1826</v>
      </c>
      <c r="BB24" s="1129" t="s">
        <v>1827</v>
      </c>
      <c r="BC24" s="1129" t="s">
        <v>1828</v>
      </c>
      <c r="BE24" s="1129">
        <v>2020</v>
      </c>
      <c r="BH24" s="1077" t="s">
        <v>1762</v>
      </c>
      <c r="BJ24" s="1077" t="s">
        <v>1270</v>
      </c>
      <c r="BL24" s="1077" t="s">
        <v>1270</v>
      </c>
      <c r="BQ24" s="1290">
        <v>4190069</v>
      </c>
      <c r="BR24" s="1077" t="s">
        <v>1829</v>
      </c>
      <c r="BS24" s="1438"/>
      <c r="BT24" s="1290">
        <v>4189676</v>
      </c>
      <c r="BU24" s="1077" t="s">
        <v>1830</v>
      </c>
      <c r="BV24" s="1079"/>
      <c r="BW24" s="1079"/>
      <c r="CC24" s="1290">
        <v>25575374</v>
      </c>
      <c r="CD24" s="1077" t="s">
        <v>1831</v>
      </c>
    </row>
    <row customHeight="1" ht="11.25">
      <c r="A25" s="1083" t="s">
        <v>1832</v>
      </c>
      <c r="B25" s="1084">
        <v>2023</v>
      </c>
      <c r="AW25" s="1129" t="s">
        <v>1110</v>
      </c>
      <c r="AX25" s="1129" t="s">
        <v>1110</v>
      </c>
      <c r="AZ25" s="1129" t="s">
        <v>1833</v>
      </c>
      <c r="BB25" s="1129" t="s">
        <v>1834</v>
      </c>
      <c r="BC25" s="1129" t="s">
        <v>1828</v>
      </c>
      <c r="BE25" s="1129">
        <v>2021</v>
      </c>
      <c r="BH25" s="1077" t="s">
        <v>1767</v>
      </c>
      <c r="BJ25" s="1077" t="s">
        <v>1789</v>
      </c>
      <c r="BL25" s="1077" t="s">
        <v>1789</v>
      </c>
      <c r="BQ25" s="1290">
        <v>4190070</v>
      </c>
      <c r="BR25" s="1077" t="s">
        <v>1835</v>
      </c>
      <c r="BS25" s="1438"/>
      <c r="BT25" s="1290">
        <v>4189677</v>
      </c>
      <c r="BU25" s="1077" t="s">
        <v>1836</v>
      </c>
      <c r="BV25" s="1079"/>
      <c r="BW25" s="1079"/>
    </row>
    <row customHeight="1" ht="11.25">
      <c r="A26" s="1083" t="s">
        <v>1837</v>
      </c>
      <c r="B26" s="1084">
        <v>2024</v>
      </c>
      <c r="J26" s="1739" t="s">
        <v>1838</v>
      </c>
      <c r="AX26" s="1129" t="s">
        <v>1114</v>
      </c>
      <c r="AZ26" s="1129" t="s">
        <v>1717</v>
      </c>
      <c r="BB26" s="1129" t="s">
        <v>1839</v>
      </c>
      <c r="BC26" s="1129" t="s">
        <v>1828</v>
      </c>
      <c r="BE26" s="1129">
        <v>2022</v>
      </c>
      <c r="BH26" s="1077" t="s">
        <v>1125</v>
      </c>
      <c r="BJ26" s="1077" t="s">
        <v>1733</v>
      </c>
      <c r="BL26" s="1077" t="s">
        <v>1733</v>
      </c>
      <c r="BQ26" s="1290">
        <v>4190071</v>
      </c>
      <c r="BR26" s="1077" t="s">
        <v>1840</v>
      </c>
      <c r="BS26" s="1438"/>
      <c r="BV26" s="1079"/>
      <c r="BW26" s="1079"/>
    </row>
    <row customHeight="1" ht="11.25">
      <c r="A27" s="1083" t="s">
        <v>1841</v>
      </c>
      <c r="B27" s="1084">
        <v>2025</v>
      </c>
      <c r="J27" s="185" t="s">
        <v>104</v>
      </c>
      <c r="AX27" s="1129" t="s">
        <v>1140</v>
      </c>
      <c r="BB27" s="1129" t="s">
        <v>1842</v>
      </c>
      <c r="BC27" s="1129" t="s">
        <v>1828</v>
      </c>
      <c r="BE27" s="1129">
        <v>2023</v>
      </c>
      <c r="BH27" s="1079" t="s">
        <v>22</v>
      </c>
      <c r="BJ27" s="1077" t="s">
        <v>1739</v>
      </c>
      <c r="BL27" s="1077" t="s">
        <v>1739</v>
      </c>
      <c r="BN27" s="1079" t="s">
        <v>22</v>
      </c>
      <c r="BQ27" s="1290">
        <v>4190072</v>
      </c>
      <c r="BR27" s="1077" t="s">
        <v>1843</v>
      </c>
      <c r="BS27" s="1438"/>
      <c r="BV27" s="1079"/>
      <c r="BW27" s="1079"/>
    </row>
    <row customHeight="1" ht="11.25">
      <c r="A28" s="1083" t="s">
        <v>1844</v>
      </c>
      <c r="D28" s="1110"/>
      <c r="E28" s="1111"/>
      <c r="F28" s="1111"/>
      <c r="H28" s="1112" t="s">
        <v>1845</v>
      </c>
      <c r="AX28" s="1129" t="s">
        <v>1142</v>
      </c>
      <c r="AZ28" s="1076" t="s">
        <v>1846</v>
      </c>
      <c r="BB28" s="1129" t="s">
        <v>1847</v>
      </c>
      <c r="BC28" s="1129" t="s">
        <v>1848</v>
      </c>
      <c r="BE28" s="1129">
        <v>2024</v>
      </c>
      <c r="BH28" s="1079" t="s">
        <v>22</v>
      </c>
      <c r="BJ28" s="1077" t="s">
        <v>1746</v>
      </c>
      <c r="BL28" s="1077" t="s">
        <v>1746</v>
      </c>
      <c r="BN28" s="1079" t="s">
        <v>22</v>
      </c>
      <c r="BQ28" s="1290">
        <v>4190073</v>
      </c>
      <c r="BR28" s="1077" t="s">
        <v>1849</v>
      </c>
      <c r="BS28" s="1438"/>
      <c r="BV28" s="1079"/>
      <c r="BW28" s="1079"/>
    </row>
    <row customHeight="1" ht="11.25">
      <c r="A29" s="1083" t="s">
        <v>1850</v>
      </c>
      <c r="D29" s="1113" t="s">
        <v>1851</v>
      </c>
      <c r="E29" s="1114" t="str">
        <f>IF(TEMPLATE_GROUP="","",INDEX(StartDateList,MATCH(TEMPLATE_GROUP,CodeTemplateList,0),1))</f>
        <v>01.01.2025</v>
      </c>
      <c r="F29" s="1114" t="str">
        <f>IF(TEMPLATE_GROUP="","",INDEX(EndDateList,MATCH(TEMPLATE_GROUP,CodeTemplateList,0),1))</f>
        <v>31.12.2025</v>
      </c>
      <c r="H29" s="1115" t="s">
        <v>1852</v>
      </c>
      <c r="AX29" s="1129" t="s">
        <v>1146</v>
      </c>
      <c r="AZ29" s="1129" t="s">
        <v>1527</v>
      </c>
      <c r="BB29" s="1129" t="s">
        <v>1717</v>
      </c>
      <c r="BC29" s="1100"/>
      <c r="BE29" s="1129">
        <v>2025</v>
      </c>
      <c r="BJ29" s="1077" t="s">
        <v>1754</v>
      </c>
      <c r="BL29" s="1077" t="s">
        <v>1754</v>
      </c>
    </row>
    <row customHeight="1" ht="11.25">
      <c r="A30" s="1083" t="s">
        <v>1853</v>
      </c>
      <c r="D30" s="1116"/>
      <c r="E30" s="1117"/>
      <c r="F30" s="1117"/>
      <c r="AX30" s="1129" t="s">
        <v>1149</v>
      </c>
      <c r="AZ30" s="1129" t="s">
        <v>1551</v>
      </c>
      <c r="BE30" s="1129">
        <v>2026</v>
      </c>
      <c r="BJ30" s="1077" t="s">
        <v>1854</v>
      </c>
      <c r="BL30" s="1077" t="s">
        <v>1854</v>
      </c>
    </row>
    <row customHeight="1" ht="12.75">
      <c r="A31" s="1083" t="s">
        <v>1855</v>
      </c>
      <c r="D31" s="1110"/>
      <c r="E31" s="1111"/>
      <c r="F31" s="1111"/>
      <c r="H31" s="1118"/>
      <c r="AX31" s="1129" t="s">
        <v>1103</v>
      </c>
      <c r="AZ31" s="1129" t="s">
        <v>1856</v>
      </c>
      <c r="BE31" s="1129">
        <v>2027</v>
      </c>
      <c r="BJ31" s="1077" t="s">
        <v>1857</v>
      </c>
      <c r="BL31" s="1077" t="s">
        <v>1857</v>
      </c>
    </row>
    <row customHeight="1" ht="11.25">
      <c r="A32" s="1083" t="s">
        <v>1858</v>
      </c>
      <c r="D32" s="1113" t="s">
        <v>1859</v>
      </c>
      <c r="E32" s="1114" t="str">
        <f>IF(TEMPLATE_GROUP="","",INDEX(StartDateList,MATCH(TEMPLATE_GROUP,CodeTemplateList,0),1))</f>
        <v>01.01.2025</v>
      </c>
      <c r="F32" s="1114" t="str">
        <f>IF(TEMPLATE_GROUP="","",INDEX(EndDateList,MATCH(TEMPLATE_GROUP,CodeTemplateList,0),1))</f>
        <v>31.12.2025</v>
      </c>
      <c r="H32" s="1119" t="s">
        <v>1860</v>
      </c>
      <c r="O32" s="1083" t="s">
        <v>1525</v>
      </c>
      <c r="AX32" s="1129" t="s">
        <v>1152</v>
      </c>
      <c r="AZ32" s="1129" t="s">
        <v>1618</v>
      </c>
      <c r="BE32" s="1129">
        <v>2028</v>
      </c>
      <c r="BJ32" s="1077" t="s">
        <v>1762</v>
      </c>
      <c r="BL32" s="1077" t="s">
        <v>1762</v>
      </c>
    </row>
    <row customHeight="1" ht="11.25">
      <c r="A33" s="1083" t="s">
        <v>1861</v>
      </c>
      <c r="O33" s="1083" t="s">
        <v>1548</v>
      </c>
      <c r="AX33" s="1129" t="s">
        <v>1154</v>
      </c>
      <c r="AZ33" s="1129" t="s">
        <v>1526</v>
      </c>
      <c r="BE33" s="1129">
        <v>2029</v>
      </c>
      <c r="BJ33" s="1077" t="s">
        <v>1767</v>
      </c>
      <c r="BL33" s="1077" t="s">
        <v>1767</v>
      </c>
    </row>
    <row customHeight="1" ht="11.25">
      <c r="A34" s="1083" t="s">
        <v>1862</v>
      </c>
      <c r="O34" s="1083" t="s">
        <v>1583</v>
      </c>
      <c r="AX34" s="1129" t="s">
        <v>1156</v>
      </c>
      <c r="BE34" s="1129">
        <v>2030</v>
      </c>
      <c r="BJ34" s="1077" t="s">
        <v>1125</v>
      </c>
      <c r="BL34" s="1077" t="s">
        <v>1125</v>
      </c>
    </row>
    <row customHeight="1" ht="11.25">
      <c r="A35" s="1083" t="s">
        <v>1863</v>
      </c>
      <c r="O35" s="1083" t="s">
        <v>1616</v>
      </c>
      <c r="AX35" s="1129" t="s">
        <v>1159</v>
      </c>
      <c r="AZ35" s="1076" t="s">
        <v>1864</v>
      </c>
      <c r="BE35" s="1129">
        <v>2031</v>
      </c>
      <c r="BL35" s="1077" t="s">
        <v>1865</v>
      </c>
    </row>
    <row customHeight="1" ht="11.25">
      <c r="A36" s="1876" t="s">
        <v>1866</v>
      </c>
      <c r="D36" s="1120" t="s">
        <v>1867</v>
      </c>
      <c r="E36" s="1121" t="s">
        <v>848</v>
      </c>
      <c r="F36" s="1122" t="str">
        <f>INDEX(E37:E41,MATCH(TEMPLATE_SPHERE,F37:F41,0))</f>
        <v>теплоснабжения</v>
      </c>
      <c r="G36" s="1122" t="str">
        <f>INDEX(G37:G41,MATCH(TEMPLATE_SPHERE,F37:F41,0))</f>
        <v>теплоснабжение</v>
      </c>
      <c r="O36" s="1083" t="s">
        <v>1640</v>
      </c>
      <c r="AX36" s="1129" t="s">
        <v>1161</v>
      </c>
      <c r="AZ36" s="1129" t="s">
        <v>1526</v>
      </c>
      <c r="BE36" s="1129">
        <v>2032</v>
      </c>
      <c r="BL36" s="1077" t="s">
        <v>1868</v>
      </c>
    </row>
    <row customHeight="1" ht="11.25">
      <c r="A37" s="1083" t="s">
        <v>1869</v>
      </c>
      <c r="E37" s="416" t="s">
        <v>1870</v>
      </c>
      <c r="F37" s="1123" t="s">
        <v>848</v>
      </c>
      <c r="G37" s="416" t="s">
        <v>1871</v>
      </c>
      <c r="O37" s="1083" t="s">
        <v>1658</v>
      </c>
      <c r="AX37" s="1129" t="s">
        <v>1166</v>
      </c>
      <c r="AZ37" s="1129" t="s">
        <v>1550</v>
      </c>
      <c r="BE37" s="1129">
        <v>2033</v>
      </c>
    </row>
    <row customHeight="1" ht="11.25">
      <c r="A38" s="1083" t="s">
        <v>1872</v>
      </c>
      <c r="E38" s="416" t="s">
        <v>1873</v>
      </c>
      <c r="F38" s="1124" t="s">
        <v>897</v>
      </c>
      <c r="G38" s="416" t="s">
        <v>1874</v>
      </c>
      <c r="O38" s="1083" t="s">
        <v>1672</v>
      </c>
      <c r="AX38" s="1129" t="s">
        <v>1170</v>
      </c>
      <c r="AZ38" s="1129" t="s">
        <v>1584</v>
      </c>
      <c r="BE38" s="1129">
        <v>2034</v>
      </c>
      <c r="BH38" s="1076" t="s">
        <v>1875</v>
      </c>
      <c r="BJ38" s="1076" t="s">
        <v>1876</v>
      </c>
      <c r="BL38" s="1076" t="s">
        <v>1877</v>
      </c>
      <c r="BN38" s="1076" t="s">
        <v>1878</v>
      </c>
    </row>
    <row customHeight="1" ht="11.25">
      <c r="A39" s="1083" t="s">
        <v>1879</v>
      </c>
      <c r="E39" s="416" t="s">
        <v>1880</v>
      </c>
      <c r="F39" s="1124" t="s">
        <v>950</v>
      </c>
      <c r="G39" s="416" t="s">
        <v>1881</v>
      </c>
      <c r="O39" s="1083" t="s">
        <v>1688</v>
      </c>
      <c r="AX39" s="1129" t="s">
        <v>1172</v>
      </c>
      <c r="AZ39" s="1129" t="s">
        <v>1617</v>
      </c>
      <c r="BE39" s="1129">
        <v>2035</v>
      </c>
      <c r="BH39" s="1077" t="s">
        <v>1882</v>
      </c>
      <c r="BJ39" s="1226" t="s">
        <v>1882</v>
      </c>
      <c r="BL39" s="1226" t="s">
        <v>1882</v>
      </c>
      <c r="BN39" s="1077" t="s">
        <v>1883</v>
      </c>
    </row>
    <row customHeight="1" ht="11.25">
      <c r="A40" s="1083" t="s">
        <v>1884</v>
      </c>
      <c r="E40" s="416" t="s">
        <v>1885</v>
      </c>
      <c r="F40" s="1124" t="s">
        <v>937</v>
      </c>
      <c r="G40" s="416" t="s">
        <v>1886</v>
      </c>
      <c r="O40" s="1083" t="s">
        <v>1703</v>
      </c>
      <c r="AX40" s="1129" t="s">
        <v>1175</v>
      </c>
      <c r="BE40" s="1129">
        <v>2036</v>
      </c>
      <c r="BH40" s="1077" t="s">
        <v>1887</v>
      </c>
      <c r="BJ40" s="1226" t="s">
        <v>1333</v>
      </c>
      <c r="BL40" s="1226" t="s">
        <v>1333</v>
      </c>
      <c r="BN40" s="1077" t="s">
        <v>1367</v>
      </c>
    </row>
    <row customHeight="1" ht="11.25">
      <c r="A41" s="1083" t="s">
        <v>1888</v>
      </c>
      <c r="E41" s="416" t="s">
        <v>1889</v>
      </c>
      <c r="F41" s="1124" t="s">
        <v>1890</v>
      </c>
      <c r="G41" s="416" t="s">
        <v>1889</v>
      </c>
      <c r="O41" s="1083" t="s">
        <v>1717</v>
      </c>
      <c r="AX41" s="1129" t="s">
        <v>1178</v>
      </c>
      <c r="AZ41" s="1076" t="s">
        <v>1891</v>
      </c>
      <c r="BE41" s="1129">
        <v>2037</v>
      </c>
      <c r="BH41" s="1077" t="s">
        <v>1892</v>
      </c>
      <c r="BJ41" s="1226" t="s">
        <v>1329</v>
      </c>
      <c r="BL41" s="1226" t="s">
        <v>1329</v>
      </c>
      <c r="BN41" s="1077" t="s">
        <v>1354</v>
      </c>
    </row>
    <row customHeight="1" ht="11.25">
      <c r="A42" s="1083" t="s">
        <v>1893</v>
      </c>
      <c r="AX42" s="1129" t="s">
        <v>1180</v>
      </c>
      <c r="AZ42" s="1129" t="s">
        <v>1525</v>
      </c>
      <c r="BE42" s="1129">
        <v>2038</v>
      </c>
      <c r="BH42" s="1077" t="s">
        <v>1351</v>
      </c>
      <c r="BJ42" s="1226" t="s">
        <v>1331</v>
      </c>
      <c r="BL42" s="1226" t="s">
        <v>1331</v>
      </c>
      <c r="BN42" s="1077" t="s">
        <v>1894</v>
      </c>
    </row>
    <row customHeight="1" ht="11.25">
      <c r="A43" s="1083" t="s">
        <v>1895</v>
      </c>
      <c r="AX43" s="1129" t="s">
        <v>1182</v>
      </c>
      <c r="AZ43" s="1129" t="s">
        <v>1548</v>
      </c>
      <c r="BE43" s="1129">
        <v>2039</v>
      </c>
      <c r="BH43" s="1077" t="s">
        <v>1896</v>
      </c>
      <c r="BJ43" s="1226" t="s">
        <v>1892</v>
      </c>
      <c r="BL43" s="1226" t="s">
        <v>1892</v>
      </c>
      <c r="BN43" s="1077" t="s">
        <v>1897</v>
      </c>
    </row>
    <row customHeight="1" ht="11.25">
      <c r="A44" s="1083" t="s">
        <v>1898</v>
      </c>
      <c r="G44" s="1103">
        <f>YEAR(TODAY())</f>
        <v>2026</v>
      </c>
      <c r="I44" s="808" t="s">
        <v>1899</v>
      </c>
      <c r="J44" s="1098" t="s">
        <v>1900</v>
      </c>
      <c r="K44" s="1098" t="s">
        <v>1901</v>
      </c>
      <c r="AX44" s="1129" t="s">
        <v>1184</v>
      </c>
      <c r="AZ44" s="1129" t="s">
        <v>1583</v>
      </c>
      <c r="BE44" s="1129">
        <v>2040</v>
      </c>
      <c r="BH44" s="1077" t="s">
        <v>1902</v>
      </c>
      <c r="BJ44" s="1226" t="s">
        <v>1351</v>
      </c>
      <c r="BL44" s="1226" t="s">
        <v>1351</v>
      </c>
      <c r="BN44" s="1077" t="s">
        <v>1903</v>
      </c>
    </row>
    <row customHeight="1" ht="11.25">
      <c r="A45" s="1083" t="s">
        <v>1904</v>
      </c>
      <c r="D45" s="1120" t="s">
        <v>1905</v>
      </c>
      <c r="E45" s="1121" t="s">
        <v>1906</v>
      </c>
      <c r="F45" s="806" t="s">
        <v>1907</v>
      </c>
      <c r="G45" s="805" t="s">
        <v>1908</v>
      </c>
      <c r="H45" s="808" t="s">
        <v>1909</v>
      </c>
      <c r="I45" s="1749">
        <f>INDEX(PeriodIsEmptyList,MATCH(TEMPLATE_GROUP,CodeTemplateList,0),1)</f>
        <v>0</v>
      </c>
      <c r="J45" s="1752"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175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129" t="s">
        <v>1186</v>
      </c>
      <c r="AZ45" s="1129" t="s">
        <v>1616</v>
      </c>
      <c r="BE45" s="1129">
        <v>2041</v>
      </c>
      <c r="BH45" s="1077" t="s">
        <v>1910</v>
      </c>
      <c r="BJ45" s="1226" t="s">
        <v>1345</v>
      </c>
      <c r="BL45" s="1226" t="s">
        <v>1345</v>
      </c>
      <c r="BN45" s="1077" t="s">
        <v>1911</v>
      </c>
    </row>
    <row customHeight="1" ht="11.25">
      <c r="A46" s="1083" t="s">
        <v>1912</v>
      </c>
      <c r="E46" s="416" t="s">
        <v>27</v>
      </c>
      <c r="F46" s="1123" t="s">
        <v>1913</v>
      </c>
      <c r="G46" s="1125" t="str">
        <f>_xlfn.IFERROR(IF(TITLE_DATE_FIL="","01.01."&amp;CURRENT_YEAR,"01.01."&amp;YEAR(TITLE_DATE_FIL)),"01.01."&amp;CURRENT_YEAR)</f>
        <v>01.01.2026</v>
      </c>
      <c r="H46" s="1125" t="str">
        <f>_xlfn.IFERROR(IF(TITLE_DATE_FIL="","31.12."&amp;CURRENT_YEAR,"31.12."&amp;YEAR(TITLE_DATE_FIL)),"31.12."&amp;CURRENT_YEAR)</f>
        <v>31.12.2026</v>
      </c>
      <c r="I46" s="1750">
        <f>IF(TITLE_DATE_FIL="",TRUE,FALSE)</f>
        <v>1</v>
      </c>
      <c r="J46" s="1753" t="str">
        <f>"Общая информация о регулируемой организации ("&amp;TEMPLATE_SPHERE_RUS&amp;")"</f>
        <v>Общая информация о регулируемой организации (теплоснабжения)</v>
      </c>
      <c r="K46" s="1754"/>
      <c r="AX46" s="1129" t="s">
        <v>1188</v>
      </c>
      <c r="AZ46" s="1129" t="s">
        <v>1640</v>
      </c>
      <c r="BE46" s="1129">
        <v>2042</v>
      </c>
      <c r="BH46" s="1077" t="s">
        <v>1354</v>
      </c>
      <c r="BJ46" s="1226" t="s">
        <v>1335</v>
      </c>
      <c r="BL46" s="1226" t="s">
        <v>1335</v>
      </c>
      <c r="BN46" s="1077" t="s">
        <v>1914</v>
      </c>
    </row>
    <row customHeight="1" ht="11.25">
      <c r="A47" s="1083" t="s">
        <v>1915</v>
      </c>
      <c r="E47" s="416" t="s">
        <v>33</v>
      </c>
      <c r="F47" s="1124" t="s">
        <v>1916</v>
      </c>
      <c r="G47" s="1125" t="str">
        <f>_xlfn.IFERROR(IF(f_year="","01.01."&amp;CURRENT_YEAR,IF(LEN(f_quart)=0,"01.01."&amp;f_year,IF(f_quart="I квартал","01.01."&amp;f_year,IF(f_quart="II квартал","01.04."&amp;f_year,(IF(f_quart="III квартал","01.07."&amp;f_year,"01.10."&amp;f_year)))))),"01.01."&amp;CURRENT_YEAR)</f>
        <v>01.01.2025</v>
      </c>
      <c r="H47" s="1125" t="str">
        <f>_xlfn.IFERROR(IF(f_year="","31.12."&amp;CURRENT_YEAR,IF(LEN(f_quart)=0,"31.12."&amp;f_year,IF(f_quart="I квартал","31.03."&amp;f_year,IF(f_quart="II квартал","30.06."&amp;f_year,(IF(f_quart="III квартал","30.09."&amp;f_year,"31.12."&amp;f_year)))))),"31.12."&amp;CURRENT_YEAR)</f>
        <v>31.12.2025</v>
      </c>
      <c r="I47" s="1751">
        <f>IF(OR(f_year="",f_quart=""),TRUE,FALSE)</f>
        <v>1</v>
      </c>
      <c r="J47" s="175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754"/>
      <c r="AX47" s="1129" t="s">
        <v>1190</v>
      </c>
      <c r="AZ47" s="1129" t="s">
        <v>1658</v>
      </c>
      <c r="BE47" s="1129">
        <v>2043</v>
      </c>
      <c r="BH47" s="1077" t="s">
        <v>1894</v>
      </c>
      <c r="BJ47" s="1226" t="s">
        <v>1337</v>
      </c>
      <c r="BL47" s="1226" t="s">
        <v>1337</v>
      </c>
      <c r="BN47" s="1077" t="s">
        <v>1917</v>
      </c>
    </row>
    <row customHeight="1" ht="11.25">
      <c r="A48" s="1083" t="s">
        <v>1918</v>
      </c>
      <c r="E48" s="416" t="s">
        <v>1919</v>
      </c>
      <c r="F48" s="1124" t="s">
        <v>1906</v>
      </c>
      <c r="G48" s="1125" t="str">
        <f>_xlfn.IFERROR(IF(f_year="","01.01."&amp;CURRENT_YEAR,"01.01."&amp;f_year),"01.01."&amp;CURRENT_YEAR)</f>
        <v>01.01.2025</v>
      </c>
      <c r="H48" s="1125" t="str">
        <f>_xlfn.IFERROR(IF(f_year="","31.12."&amp;CURRENT_YEAR,"31.12."&amp;f_year),"31.12."&amp;CURRENT_YEAR)</f>
        <v>31.12.2025</v>
      </c>
      <c r="I48" s="1750">
        <f>IF(f_year="",TRUE,FALSE)</f>
        <v>0</v>
      </c>
      <c r="J48" s="1753" t="s">
        <v>1920</v>
      </c>
      <c r="K48" s="1754"/>
      <c r="AX48" s="1129" t="s">
        <v>1192</v>
      </c>
      <c r="AZ48" s="1129" t="s">
        <v>1672</v>
      </c>
      <c r="BE48" s="1129">
        <v>2044</v>
      </c>
      <c r="BH48" s="1077" t="s">
        <v>1897</v>
      </c>
      <c r="BJ48" s="1226" t="s">
        <v>1339</v>
      </c>
      <c r="BL48" s="1226" t="s">
        <v>1339</v>
      </c>
      <c r="BN48" s="1077" t="s">
        <v>1921</v>
      </c>
    </row>
    <row customHeight="1" ht="11.25">
      <c r="A49" s="1083" t="s">
        <v>16</v>
      </c>
      <c r="E49" s="416" t="s">
        <v>1922</v>
      </c>
      <c r="F49" s="1124" t="s">
        <v>1923</v>
      </c>
      <c r="G49" s="1125" t="str">
        <f>_xlfn.IFERROR(IF(f_year="","01.01."&amp;CURRENT_YEAR,"01.01."&amp;f_year),"01.01."&amp;CURRENT_YEAR)</f>
        <v>01.01.2025</v>
      </c>
      <c r="H49" s="1125" t="str">
        <f>_xlfn.IFERROR(IF(f_year="","31.12."&amp;CURRENT_YEAR,"31.12."&amp;f_year),"31.12."&amp;CURRENT_YEAR)</f>
        <v>31.12.2025</v>
      </c>
      <c r="I49" s="1750">
        <f>IF(f_year="",TRUE,FALSE)</f>
        <v>0</v>
      </c>
      <c r="J49" s="175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754"/>
      <c r="AX49" s="1129" t="s">
        <v>1099</v>
      </c>
      <c r="AZ49" s="1129" t="s">
        <v>1688</v>
      </c>
      <c r="BE49" s="1129">
        <v>2045</v>
      </c>
      <c r="BH49" s="1077" t="s">
        <v>1355</v>
      </c>
      <c r="BJ49" s="1226" t="s">
        <v>1341</v>
      </c>
      <c r="BL49" s="1226" t="s">
        <v>1341</v>
      </c>
    </row>
    <row customHeight="1" ht="11.25">
      <c r="A50" s="1083" t="s">
        <v>1924</v>
      </c>
      <c r="E50" s="416" t="s">
        <v>1925</v>
      </c>
      <c r="F50" s="1124" t="s">
        <v>1325</v>
      </c>
      <c r="G50" s="1125" t="str">
        <f>_xlfn.IFERROR(IF(f_year="","01.01."&amp;CURRENT_YEAR,"01.01."&amp;f_year),"01.01."&amp;CURRENT_YEAR)</f>
        <v>01.01.2025</v>
      </c>
      <c r="H50" s="1125" t="str">
        <f>_xlfn.IFERROR(IF(f_year="","31.12."&amp;CURRENT_YEAR,"31.12."&amp;f_year),"31.12."&amp;CURRENT_YEAR)</f>
        <v>31.12.2025</v>
      </c>
      <c r="I50" s="1750">
        <f>IF(f_year="",TRUE,FALSE)</f>
        <v>0</v>
      </c>
      <c r="J50" s="175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754"/>
      <c r="AX50" s="1129" t="s">
        <v>1196</v>
      </c>
      <c r="AZ50" s="1129" t="s">
        <v>1703</v>
      </c>
      <c r="BE50" s="1129">
        <v>2046</v>
      </c>
      <c r="BH50" s="1077" t="s">
        <v>1903</v>
      </c>
      <c r="BJ50" s="1226" t="s">
        <v>1343</v>
      </c>
      <c r="BL50" s="1226" t="s">
        <v>1343</v>
      </c>
    </row>
    <row customHeight="1" ht="11.25">
      <c r="A51" s="1083" t="s">
        <v>1926</v>
      </c>
      <c r="E51" s="416" t="s">
        <v>1927</v>
      </c>
      <c r="F51" s="1124" t="s">
        <v>1928</v>
      </c>
      <c r="G51" s="1125" t="str">
        <f>_xlfn.IFERROR(IF(TITLE_PERIOD_START="","01.01."&amp;CURRENT_YEAR,"01.01."&amp;YEAR(TITLE_PERIOD_START)),"01.01."&amp;CURRENT_YEAR)</f>
        <v>01.01.2026</v>
      </c>
      <c r="H51" s="1125" t="str">
        <f>_xlfn.IFERROR(IF(TITLE_PERIOD_END="","31.12."&amp;CURRENT_YEAR,"31.12."&amp;YEAR(TITLE_PERIOD_END)),"31.12."&amp;CURRENT_YEAR)</f>
        <v>31.12.2026</v>
      </c>
      <c r="I51" s="1751">
        <f>IF(OR(TITLE_PERIOD_START="",TITLE_PERIOD_END=""),TRUE,FALSE)</f>
        <v>1</v>
      </c>
      <c r="J51" s="175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54"/>
      <c r="AX51" s="1129" t="s">
        <v>1198</v>
      </c>
      <c r="AZ51" s="1129" t="s">
        <v>1717</v>
      </c>
      <c r="BE51" s="1129">
        <v>2047</v>
      </c>
      <c r="BH51" s="1077" t="s">
        <v>1911</v>
      </c>
      <c r="BJ51" s="1226" t="s">
        <v>1929</v>
      </c>
      <c r="BL51" s="1226" t="s">
        <v>1929</v>
      </c>
    </row>
    <row customHeight="1" ht="11.25">
      <c r="A52" s="1083" t="s">
        <v>1930</v>
      </c>
      <c r="E52" s="416" t="s">
        <v>1931</v>
      </c>
      <c r="F52" s="1124" t="s">
        <v>1932</v>
      </c>
      <c r="G52" s="1125" t="str">
        <f>_xlfn.IFERROR(IF(TITLE_PERIOD_START="","01.01."&amp;CURRENT_YEAR,"01.01."&amp;YEAR(TITLE_PERIOD_START)),"01.01."&amp;CURRENT_YEAR)</f>
        <v>01.01.2026</v>
      </c>
      <c r="H52" s="1125" t="str">
        <f>_xlfn.IFERROR(IF(TITLE_PERIOD_END="","31.12."&amp;CURRENT_YEAR,"31.12."&amp;YEAR(TITLE_PERIOD_END)),"31.12."&amp;CURRENT_YEAR)</f>
        <v>31.12.2026</v>
      </c>
      <c r="I52" s="1751">
        <f>IF(OR(TITLE_PERIOD_START="",TITLE_PERIOD_END=""),TRUE,FALSE)</f>
        <v>1</v>
      </c>
      <c r="J52" s="1753" t="str">
        <f>"Показатели, подлежащие раскрытию в сфере "&amp;TEMPLATE_SPHERE_RUS&amp;" (цены и тарифы)"</f>
        <v>Показатели, подлежащие раскрытию в сфере теплоснабжения (цены и тарифы)</v>
      </c>
      <c r="K52" s="1754"/>
      <c r="AX52" s="1129" t="s">
        <v>1200</v>
      </c>
      <c r="AZ52" s="1129" t="s">
        <v>1526</v>
      </c>
      <c r="BE52" s="1129">
        <v>2048</v>
      </c>
      <c r="BH52" s="1077" t="s">
        <v>1914</v>
      </c>
      <c r="BJ52" s="1226" t="s">
        <v>1354</v>
      </c>
      <c r="BL52" s="1226" t="s">
        <v>1354</v>
      </c>
    </row>
    <row customHeight="1" ht="11.25">
      <c r="A53" s="1083" t="s">
        <v>1933</v>
      </c>
      <c r="E53" s="416" t="s">
        <v>1934</v>
      </c>
      <c r="F53" s="1124" t="s">
        <v>1934</v>
      </c>
      <c r="G53" s="1125" t="str">
        <f>_xlfn.IFERROR(IF(f_year="","01.01."&amp;CURRENT_YEAR,"01.01."&amp;f_year),"01.01."&amp;CURRENT_YEAR)</f>
        <v>01.01.2025</v>
      </c>
      <c r="H53" s="1125" t="str">
        <f>_xlfn.IFERROR(IF(f_year="","31.12."&amp;CURRENT_YEAR,"31.12."&amp;f_year),"31.12."&amp;CURRENT_YEAR)</f>
        <v>31.12.2025</v>
      </c>
      <c r="I53" s="1750">
        <f>IF(AND(f_year="",TITLE_DATE_FIL=""),TRUE,FALSE)</f>
        <v>0</v>
      </c>
      <c r="J53" s="1753" t="s">
        <v>1935</v>
      </c>
      <c r="K53" s="1754"/>
      <c r="AX53" s="1129" t="s">
        <v>1202</v>
      </c>
      <c r="BE53" s="1129">
        <v>2049</v>
      </c>
      <c r="BH53" s="1077" t="s">
        <v>1917</v>
      </c>
      <c r="BJ53" s="1226" t="s">
        <v>1894</v>
      </c>
      <c r="BL53" s="1226" t="s">
        <v>1894</v>
      </c>
    </row>
    <row customHeight="1" ht="11.25">
      <c r="A54" s="1083" t="s">
        <v>1936</v>
      </c>
      <c r="AX54" s="1129" t="s">
        <v>1204</v>
      </c>
      <c r="AZ54" s="1076" t="s">
        <v>1937</v>
      </c>
      <c r="BE54" s="1129">
        <v>2050</v>
      </c>
      <c r="BH54" s="1077" t="s">
        <v>1921</v>
      </c>
      <c r="BJ54" s="1226" t="s">
        <v>1897</v>
      </c>
      <c r="BL54" s="1226" t="s">
        <v>1897</v>
      </c>
    </row>
    <row customHeight="1" ht="11.25">
      <c r="A55" s="1083" t="s">
        <v>1938</v>
      </c>
      <c r="AX55" s="1129" t="s">
        <v>1206</v>
      </c>
      <c r="AZ55" s="1129" t="s">
        <v>1528</v>
      </c>
      <c r="BE55" s="1129">
        <v>2051</v>
      </c>
      <c r="BH55" s="1079" t="s">
        <v>22</v>
      </c>
      <c r="BJ55" s="1226" t="s">
        <v>1355</v>
      </c>
      <c r="BL55" s="1226" t="s">
        <v>1355</v>
      </c>
    </row>
    <row customHeight="1" ht="11.25">
      <c r="A56" s="1083" t="s">
        <v>1939</v>
      </c>
      <c r="D56" s="1127" t="s">
        <v>1940</v>
      </c>
      <c r="E56" s="1104" t="s">
        <v>1941</v>
      </c>
      <c r="F56" s="1083" t="s">
        <v>1942</v>
      </c>
      <c r="AX56" s="1129" t="s">
        <v>1209</v>
      </c>
      <c r="AZ56" s="1129" t="s">
        <v>1552</v>
      </c>
      <c r="BE56" s="1129">
        <v>2052</v>
      </c>
      <c r="BH56" s="1079" t="s">
        <v>22</v>
      </c>
      <c r="BJ56" s="1226" t="s">
        <v>1903</v>
      </c>
      <c r="BL56" s="1226" t="s">
        <v>1903</v>
      </c>
    </row>
    <row customHeight="1" ht="11.25">
      <c r="A57" s="1083" t="s">
        <v>1943</v>
      </c>
      <c r="D57" s="1127" t="s">
        <v>1944</v>
      </c>
      <c r="E57" s="1104" t="s">
        <v>1945</v>
      </c>
      <c r="F57" s="1083" t="s">
        <v>1942</v>
      </c>
      <c r="AX57" s="1129" t="s">
        <v>1211</v>
      </c>
      <c r="AZ57" s="1129" t="s">
        <v>1586</v>
      </c>
      <c r="BE57" s="1129">
        <v>2053</v>
      </c>
      <c r="BJ57" s="1226" t="s">
        <v>1911</v>
      </c>
      <c r="BL57" s="1226" t="s">
        <v>1911</v>
      </c>
    </row>
    <row customHeight="1" ht="11.25">
      <c r="A58" s="1083" t="s">
        <v>1946</v>
      </c>
      <c r="D58" s="1127" t="s">
        <v>1947</v>
      </c>
      <c r="E58" s="1104" t="s">
        <v>1202</v>
      </c>
      <c r="F58" s="1083" t="s">
        <v>1942</v>
      </c>
      <c r="AX58" s="1129" t="s">
        <v>1213</v>
      </c>
      <c r="BE58" s="1129">
        <v>2054</v>
      </c>
      <c r="BJ58" s="1226" t="s">
        <v>1914</v>
      </c>
      <c r="BL58" s="1226" t="s">
        <v>1914</v>
      </c>
    </row>
    <row customHeight="1" ht="11.25">
      <c r="A59" s="1083" t="s">
        <v>1948</v>
      </c>
      <c r="D59" s="1127" t="s">
        <v>148</v>
      </c>
      <c r="E59" s="1104" t="s">
        <v>1152</v>
      </c>
      <c r="F59" s="1083" t="s">
        <v>1949</v>
      </c>
      <c r="AX59" s="1129" t="s">
        <v>1216</v>
      </c>
      <c r="AZ59" s="1076" t="s">
        <v>1950</v>
      </c>
      <c r="BE59" s="1129">
        <v>2055</v>
      </c>
      <c r="BJ59" s="1226" t="s">
        <v>1917</v>
      </c>
      <c r="BL59" s="1226" t="s">
        <v>1917</v>
      </c>
    </row>
    <row customHeight="1" ht="11.25">
      <c r="A60" s="1083" t="s">
        <v>1951</v>
      </c>
      <c r="D60" s="1127" t="s">
        <v>1952</v>
      </c>
      <c r="E60" s="1104" t="s">
        <v>1152</v>
      </c>
      <c r="F60" s="1083" t="s">
        <v>1949</v>
      </c>
      <c r="AX60" s="1129" t="s">
        <v>1218</v>
      </c>
      <c r="AZ60" s="1129" t="s">
        <v>1529</v>
      </c>
      <c r="BE60" s="1129">
        <v>2056</v>
      </c>
      <c r="BJ60" s="1226" t="s">
        <v>1921</v>
      </c>
      <c r="BL60" s="1226" t="s">
        <v>1921</v>
      </c>
    </row>
    <row customHeight="1" ht="11.25">
      <c r="A61" s="1083" t="s">
        <v>1953</v>
      </c>
      <c r="D61" s="1127" t="s">
        <v>1954</v>
      </c>
      <c r="E61" s="1104" t="s">
        <v>1152</v>
      </c>
      <c r="F61" s="1083" t="s">
        <v>1949</v>
      </c>
      <c r="AX61" s="1129" t="s">
        <v>1220</v>
      </c>
      <c r="AZ61" s="1129" t="s">
        <v>1553</v>
      </c>
      <c r="BE61" s="1129">
        <v>2057</v>
      </c>
      <c r="BL61" s="1226" t="s">
        <v>1347</v>
      </c>
    </row>
    <row customHeight="1" ht="11.25">
      <c r="A62" s="1083" t="s">
        <v>1955</v>
      </c>
      <c r="D62" s="1127" t="s">
        <v>147</v>
      </c>
      <c r="E62" s="1104">
        <v>30</v>
      </c>
      <c r="F62" s="1083" t="s">
        <v>1949</v>
      </c>
      <c r="AZ62" s="1129" t="s">
        <v>1587</v>
      </c>
      <c r="BE62" s="1129">
        <v>2058</v>
      </c>
      <c r="BL62" s="1226" t="s">
        <v>1349</v>
      </c>
    </row>
    <row customHeight="1" ht="11.25">
      <c r="A63" s="1083" t="s">
        <v>1956</v>
      </c>
      <c r="D63" s="1127" t="s">
        <v>1957</v>
      </c>
      <c r="E63" s="1104">
        <v>30</v>
      </c>
      <c r="F63" s="1083" t="s">
        <v>1949</v>
      </c>
      <c r="AZ63" s="1129" t="s">
        <v>1619</v>
      </c>
      <c r="BE63" s="1129">
        <v>2059</v>
      </c>
    </row>
    <row customHeight="1" ht="11.25">
      <c r="A64" s="1083" t="s">
        <v>1958</v>
      </c>
      <c r="D64" s="1127" t="s">
        <v>1959</v>
      </c>
      <c r="E64" s="1104">
        <v>30</v>
      </c>
      <c r="F64" s="1083" t="s">
        <v>1949</v>
      </c>
      <c r="AZ64" s="1129" t="s">
        <v>1641</v>
      </c>
      <c r="BE64" s="1129">
        <v>2060</v>
      </c>
    </row>
    <row customHeight="1" ht="11.25">
      <c r="A65" s="1083" t="s">
        <v>1960</v>
      </c>
      <c r="D65" s="1083"/>
      <c r="BE65" s="1129">
        <v>2061</v>
      </c>
    </row>
    <row customHeight="1" ht="11.25">
      <c r="A66" s="1083" t="s">
        <v>1961</v>
      </c>
      <c r="AZ66" s="1076" t="s">
        <v>1962</v>
      </c>
      <c r="BE66" s="1129">
        <v>2062</v>
      </c>
    </row>
    <row customHeight="1" ht="11.25">
      <c r="A67" s="1083" t="s">
        <v>1963</v>
      </c>
      <c r="AZ67" s="1129" t="s">
        <v>1530</v>
      </c>
      <c r="BE67" s="1129">
        <v>2063</v>
      </c>
    </row>
    <row customHeight="1" ht="11.25">
      <c r="A68" s="1083" t="s">
        <v>1964</v>
      </c>
      <c r="AZ68" s="1129" t="s">
        <v>1554</v>
      </c>
      <c r="BE68" s="1129">
        <v>2064</v>
      </c>
      <c r="BH68" s="1076" t="s">
        <v>1965</v>
      </c>
      <c r="BJ68" s="1076" t="s">
        <v>1966</v>
      </c>
      <c r="BL68" s="1076" t="s">
        <v>1967</v>
      </c>
      <c r="BN68" s="1076" t="s">
        <v>1968</v>
      </c>
    </row>
    <row customHeight="1" ht="11.25">
      <c r="A69" s="1083" t="s">
        <v>1969</v>
      </c>
      <c r="AZ69" s="1129" t="s">
        <v>1588</v>
      </c>
      <c r="BE69" s="1129">
        <v>2065</v>
      </c>
      <c r="BH69" s="1077" t="s">
        <v>1167</v>
      </c>
      <c r="BI69" s="1126" t="s">
        <v>118</v>
      </c>
      <c r="BJ69" s="1077" t="s">
        <v>1970</v>
      </c>
      <c r="BK69" s="1126" t="s">
        <v>118</v>
      </c>
      <c r="BL69" s="1077" t="s">
        <v>1971</v>
      </c>
      <c r="BM69" s="1079" t="s">
        <v>118</v>
      </c>
      <c r="BN69" s="1077" t="s">
        <v>1972</v>
      </c>
    </row>
    <row customHeight="1" ht="11.25">
      <c r="A70" s="1083" t="s">
        <v>1973</v>
      </c>
      <c r="AZ70" s="1129" t="s">
        <v>1620</v>
      </c>
      <c r="BE70" s="1129">
        <v>2066</v>
      </c>
      <c r="BH70" s="1077" t="s">
        <v>1280</v>
      </c>
      <c r="BJ70" s="1077" t="s">
        <v>1974</v>
      </c>
      <c r="BL70" s="1077" t="s">
        <v>1975</v>
      </c>
      <c r="BN70" s="1077" t="s">
        <v>1976</v>
      </c>
    </row>
    <row customHeight="1" ht="11.25">
      <c r="A71" s="1083" t="s">
        <v>1977</v>
      </c>
      <c r="AZ71" s="1129" t="s">
        <v>1622</v>
      </c>
      <c r="BE71" s="1129">
        <v>2067</v>
      </c>
      <c r="BH71" s="1077" t="s">
        <v>1069</v>
      </c>
      <c r="BI71" s="1126" t="s">
        <v>91</v>
      </c>
      <c r="BJ71" s="1077" t="s">
        <v>1978</v>
      </c>
      <c r="BK71" s="1126" t="s">
        <v>91</v>
      </c>
      <c r="BL71" s="1077" t="s">
        <v>1979</v>
      </c>
      <c r="BM71" s="1079" t="s">
        <v>91</v>
      </c>
      <c r="BN71" s="1077" t="s">
        <v>1980</v>
      </c>
    </row>
    <row customHeight="1" ht="11.25">
      <c r="A72" s="1083" t="s">
        <v>1981</v>
      </c>
      <c r="AZ72" s="1129" t="s">
        <v>19</v>
      </c>
      <c r="BE72" s="1129">
        <v>2068</v>
      </c>
      <c r="BH72" s="1077" t="s">
        <v>1143</v>
      </c>
      <c r="BJ72" s="1077" t="s">
        <v>1143</v>
      </c>
      <c r="BL72" s="1077" t="s">
        <v>1143</v>
      </c>
      <c r="BN72" s="1077" t="s">
        <v>1982</v>
      </c>
    </row>
    <row customHeight="1" ht="11.25">
      <c r="A73" s="1083" t="s">
        <v>1983</v>
      </c>
      <c r="BE73" s="1129">
        <v>2069</v>
      </c>
      <c r="BH73" s="1077" t="s">
        <v>1984</v>
      </c>
      <c r="BI73" s="1126" t="s">
        <v>119</v>
      </c>
      <c r="BJ73" s="1077" t="s">
        <v>1985</v>
      </c>
      <c r="BK73" s="1126" t="s">
        <v>119</v>
      </c>
      <c r="BL73" s="1077" t="s">
        <v>1986</v>
      </c>
      <c r="BM73" s="1079" t="s">
        <v>119</v>
      </c>
      <c r="BN73" s="1077" t="s">
        <v>1987</v>
      </c>
    </row>
    <row customHeight="1" ht="11.25">
      <c r="A74" s="1083" t="s">
        <v>1988</v>
      </c>
      <c r="BE74" s="1129">
        <v>2070</v>
      </c>
      <c r="BH74" s="1077" t="s">
        <v>1147</v>
      </c>
      <c r="BJ74" s="1077" t="s">
        <v>1989</v>
      </c>
      <c r="BL74" s="1077" t="s">
        <v>1990</v>
      </c>
      <c r="BN74" s="1077" t="s">
        <v>1991</v>
      </c>
    </row>
    <row customHeight="1" ht="11.25">
      <c r="A75" s="1083" t="s">
        <v>1992</v>
      </c>
      <c r="AZ75" s="1076" t="s">
        <v>1993</v>
      </c>
      <c r="BH75" s="1077" t="s">
        <v>1087</v>
      </c>
      <c r="BJ75" s="1077" t="s">
        <v>1087</v>
      </c>
      <c r="BL75" s="1077" t="s">
        <v>1087</v>
      </c>
    </row>
    <row customHeight="1" ht="11.25">
      <c r="A76" s="1083" t="s">
        <v>1994</v>
      </c>
      <c r="AZ76" s="1129" t="s">
        <v>1539</v>
      </c>
      <c r="BH76" s="1077" t="s">
        <v>1137</v>
      </c>
      <c r="BJ76" s="1077" t="s">
        <v>1995</v>
      </c>
      <c r="BL76" s="1077" t="s">
        <v>1996</v>
      </c>
    </row>
    <row customHeight="1" ht="11.25">
      <c r="A77" s="1083" t="s">
        <v>1997</v>
      </c>
      <c r="AZ77" s="1129" t="s">
        <v>1564</v>
      </c>
    </row>
    <row customHeight="1" ht="11.25">
      <c r="A78" s="1083" t="s">
        <v>1998</v>
      </c>
      <c r="AZ78" s="1129" t="s">
        <v>1595</v>
      </c>
    </row>
    <row customHeight="1" ht="11.25">
      <c r="A79" s="1083" t="s">
        <v>1999</v>
      </c>
      <c r="AZ79" s="1129" t="s">
        <v>1626</v>
      </c>
      <c r="BH79" s="1076" t="s">
        <v>1165</v>
      </c>
      <c r="BJ79" s="1076" t="s">
        <v>2000</v>
      </c>
      <c r="BL79" s="1076" t="s">
        <v>2001</v>
      </c>
    </row>
    <row customHeight="1" ht="11.25">
      <c r="A80" s="1083" t="s">
        <v>2002</v>
      </c>
      <c r="AZ80" s="1129" t="s">
        <v>1646</v>
      </c>
      <c r="BH80" s="1077" t="s">
        <v>1173</v>
      </c>
      <c r="BJ80" s="1077" t="s">
        <v>2003</v>
      </c>
      <c r="BL80" s="1077" t="s">
        <v>2004</v>
      </c>
    </row>
    <row customHeight="1" ht="11.25">
      <c r="A81" s="1083" t="s">
        <v>2005</v>
      </c>
      <c r="AZ81" s="1129" t="s">
        <v>1662</v>
      </c>
      <c r="BH81" s="1077" t="s">
        <v>1214</v>
      </c>
      <c r="BJ81" s="1077" t="s">
        <v>2006</v>
      </c>
      <c r="BL81" s="1077" t="s">
        <v>2007</v>
      </c>
    </row>
    <row customHeight="1" ht="11.25">
      <c r="A82" s="1083" t="s">
        <v>2008</v>
      </c>
      <c r="AZ82" s="1129" t="s">
        <v>1674</v>
      </c>
      <c r="BH82" s="1077" t="s">
        <v>1168</v>
      </c>
      <c r="BJ82" s="1077" t="s">
        <v>2009</v>
      </c>
      <c r="BL82" s="1077" t="s">
        <v>2010</v>
      </c>
    </row>
    <row customHeight="1" ht="11.25">
      <c r="A83" s="1083" t="s">
        <v>2011</v>
      </c>
      <c r="BH83" s="1077" t="s">
        <v>2012</v>
      </c>
      <c r="BJ83" s="1077" t="s">
        <v>2013</v>
      </c>
      <c r="BL83" s="1077" t="s">
        <v>2014</v>
      </c>
    </row>
    <row customHeight="1" ht="11.25">
      <c r="A84" s="1083" t="s">
        <v>2015</v>
      </c>
      <c r="AZ84" s="1076" t="s">
        <v>2016</v>
      </c>
    </row>
    <row customHeight="1" ht="11.25">
      <c r="A85" s="1876" t="s">
        <v>2017</v>
      </c>
      <c r="AZ85" s="1129" t="s">
        <v>2018</v>
      </c>
    </row>
    <row customHeight="1" ht="11.25">
      <c r="A86" s="1083" t="s">
        <v>2019</v>
      </c>
      <c r="AZ86" s="1129" t="s">
        <v>2020</v>
      </c>
      <c r="BH86" s="1076" t="s">
        <v>1068</v>
      </c>
      <c r="BJ86" s="1076" t="s">
        <v>2021</v>
      </c>
      <c r="BL86" s="1076" t="s">
        <v>2022</v>
      </c>
    </row>
    <row customHeight="1" ht="11.25">
      <c r="A87" s="1083" t="s">
        <v>2023</v>
      </c>
      <c r="AZ87" s="1129" t="s">
        <v>2024</v>
      </c>
      <c r="BH87" s="1077" t="s">
        <v>1092</v>
      </c>
      <c r="BJ87" s="1077" t="s">
        <v>2025</v>
      </c>
      <c r="BL87" s="1077" t="s">
        <v>2026</v>
      </c>
    </row>
    <row customHeight="1" ht="11.25">
      <c r="A88" s="1083" t="s">
        <v>2027</v>
      </c>
      <c r="AZ88" s="1615"/>
      <c r="BH88" s="1077" t="s">
        <v>1070</v>
      </c>
      <c r="BJ88" s="1077" t="s">
        <v>2028</v>
      </c>
      <c r="BL88" s="1077" t="s">
        <v>2029</v>
      </c>
    </row>
    <row customHeight="1" ht="11.25">
      <c r="A89" s="1083" t="s">
        <v>2030</v>
      </c>
      <c r="AZ89" s="1076" t="s">
        <v>2031</v>
      </c>
    </row>
    <row customHeight="1" ht="11.25">
      <c r="A90" s="1083" t="s">
        <v>2032</v>
      </c>
      <c r="AZ90" s="1129" t="s">
        <v>1325</v>
      </c>
    </row>
    <row customHeight="1" ht="11.25">
      <c r="A91" s="1083" t="s">
        <v>2033</v>
      </c>
      <c r="AZ91" s="1129" t="s">
        <v>1361</v>
      </c>
      <c r="BH91" s="1076" t="s">
        <v>2034</v>
      </c>
      <c r="BJ91" s="1076" t="s">
        <v>2035</v>
      </c>
      <c r="BL91" s="1076" t="s">
        <v>2036</v>
      </c>
    </row>
    <row customHeight="1" ht="11.25">
      <c r="AZ92" s="1129" t="s">
        <v>2037</v>
      </c>
      <c r="BH92" s="1077" t="s">
        <v>2038</v>
      </c>
      <c r="BJ92" s="1077" t="s">
        <v>2039</v>
      </c>
      <c r="BL92" s="1077" t="s">
        <v>2040</v>
      </c>
    </row>
    <row customHeight="1" ht="11.25">
      <c r="AZ93" s="1129" t="s">
        <v>2041</v>
      </c>
      <c r="BH93" s="1077" t="s">
        <v>2042</v>
      </c>
      <c r="BJ93" s="1077" t="s">
        <v>2043</v>
      </c>
      <c r="BL93" s="1077" t="s">
        <v>2044</v>
      </c>
    </row>
    <row customHeight="1" ht="11.25">
      <c r="AZ94" s="1129" t="s">
        <v>2045</v>
      </c>
    </row>
    <row r="96" customHeight="1" ht="11.25">
      <c r="AZ96" s="1076" t="s">
        <v>2046</v>
      </c>
      <c r="BH96" s="1076" t="s">
        <v>2047</v>
      </c>
      <c r="BJ96" s="1076" t="s">
        <v>2048</v>
      </c>
      <c r="BL96" s="1076" t="s">
        <v>2049</v>
      </c>
      <c r="BN96" s="1076" t="s">
        <v>2050</v>
      </c>
    </row>
    <row customHeight="1" ht="11.25">
      <c r="AZ97" s="1907" t="s">
        <v>2051</v>
      </c>
      <c r="BA97" s="1908" t="s">
        <v>2052</v>
      </c>
      <c r="BH97" s="1077" t="s">
        <v>2053</v>
      </c>
      <c r="BJ97" s="1077" t="s">
        <v>2054</v>
      </c>
      <c r="BL97" s="1077" t="s">
        <v>2055</v>
      </c>
      <c r="BN97" s="1077" t="s">
        <v>2056</v>
      </c>
    </row>
    <row customHeight="1" ht="11.25">
      <c r="AZ98" s="1907" t="s">
        <v>2057</v>
      </c>
      <c r="BA98" s="1908" t="s">
        <v>2058</v>
      </c>
      <c r="BH98" s="1077" t="s">
        <v>2059</v>
      </c>
      <c r="BJ98" s="1077" t="s">
        <v>2060</v>
      </c>
      <c r="BL98" s="1077" t="s">
        <v>2061</v>
      </c>
      <c r="BN98" s="1077" t="s">
        <v>2062</v>
      </c>
    </row>
    <row customHeight="1" ht="22.5">
      <c r="AZ99" s="1907" t="s">
        <v>2063</v>
      </c>
      <c r="BA99" s="1908"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7" t="s">
        <v>2064</v>
      </c>
      <c r="BJ99" s="1077" t="s">
        <v>2065</v>
      </c>
      <c r="BL99" s="1077" t="s">
        <v>2066</v>
      </c>
      <c r="BN99" s="1077" t="s">
        <v>2067</v>
      </c>
    </row>
    <row customHeight="1" ht="22.5">
      <c r="AZ100" s="1907" t="s">
        <v>2068</v>
      </c>
      <c r="BA100"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077" t="s">
        <v>1717</v>
      </c>
      <c r="BL100" s="1077" t="s">
        <v>1717</v>
      </c>
      <c r="BN100" s="1077" t="s">
        <v>2069</v>
      </c>
    </row>
    <row customHeight="1" ht="22.5">
      <c r="AZ101" s="1907" t="s">
        <v>2070</v>
      </c>
      <c r="BA101" s="1908" t="s">
        <v>2071</v>
      </c>
      <c r="BN101" s="1077" t="s">
        <v>2072</v>
      </c>
    </row>
    <row customHeight="1" ht="22.5">
      <c r="AZ102" s="1907" t="s">
        <v>2073</v>
      </c>
      <c r="BA102"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077" t="s">
        <v>2074</v>
      </c>
    </row>
    <row customHeight="1" ht="11.25">
      <c r="AZ103" s="1907" t="s">
        <v>2075</v>
      </c>
      <c r="BA103" s="1908" t="s">
        <v>2076</v>
      </c>
      <c r="BN103" s="1077" t="s">
        <v>2077</v>
      </c>
    </row>
    <row customHeight="1" ht="11.25">
      <c r="BN104" s="1077" t="s">
        <v>2078</v>
      </c>
    </row>
    <row customHeight="1" ht="11.25">
      <c r="AZ105" s="1700" t="s">
        <v>2079</v>
      </c>
    </row>
    <row customHeight="1" ht="11.25">
      <c r="AZ106" s="1129" t="s">
        <v>2080</v>
      </c>
    </row>
    <row customHeight="1" ht="11.25">
      <c r="AZ107" s="1129" t="s">
        <v>2081</v>
      </c>
      <c r="BH107" s="1076" t="s">
        <v>2082</v>
      </c>
      <c r="BJ107" s="1076" t="s">
        <v>2083</v>
      </c>
      <c r="BL107" s="1076" t="s">
        <v>2084</v>
      </c>
      <c r="BN107" s="1076" t="s">
        <v>2085</v>
      </c>
    </row>
    <row customHeight="1" ht="11.25">
      <c r="AZ108" s="1129" t="s">
        <v>590</v>
      </c>
      <c r="BH108" s="1077" t="s">
        <v>2086</v>
      </c>
      <c r="BJ108" s="1077" t="s">
        <v>2087</v>
      </c>
      <c r="BL108" s="1077" t="s">
        <v>1794</v>
      </c>
      <c r="BN108" s="1077" t="s">
        <v>2088</v>
      </c>
    </row>
    <row customHeight="1" ht="11.25">
      <c r="BH109" s="1077" t="s">
        <v>2089</v>
      </c>
    </row>
    <row customHeight="1" ht="11.25">
      <c r="AZ110" s="1700" t="s">
        <v>2090</v>
      </c>
      <c r="BH110" s="1077" t="s">
        <v>2089</v>
      </c>
    </row>
    <row customHeight="1" ht="11.25">
      <c r="AZ111" s="1907" t="s">
        <v>2051</v>
      </c>
      <c r="BA111" s="1908" t="s">
        <v>2052</v>
      </c>
    </row>
    <row customHeight="1" ht="11.25">
      <c r="AZ112" s="1907" t="s">
        <v>2057</v>
      </c>
      <c r="BA112" s="1908" t="s">
        <v>2058</v>
      </c>
    </row>
    <row customHeight="1" ht="22.5">
      <c r="AZ113" s="1907" t="s">
        <v>2063</v>
      </c>
      <c r="BA113" s="1908"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7" t="s">
        <v>2068</v>
      </c>
      <c r="BA114"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076" t="s">
        <v>2091</v>
      </c>
    </row>
    <row customHeight="1" ht="22.5">
      <c r="AZ115" s="1907" t="s">
        <v>2073</v>
      </c>
      <c r="BA115" s="190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077" t="s">
        <v>1526</v>
      </c>
    </row>
    <row customHeight="1" ht="11.25">
      <c r="AZ116" s="1907" t="s">
        <v>2075</v>
      </c>
      <c r="BA116" s="1908" t="s">
        <v>2076</v>
      </c>
      <c r="BH116" s="1077" t="s">
        <v>1550</v>
      </c>
    </row>
    <row customHeight="1" ht="11.25">
      <c r="BH117" s="1077" t="s">
        <v>1584</v>
      </c>
    </row>
    <row customHeight="1" ht="11.25">
      <c r="BH118" s="1077" t="s">
        <v>1617</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AA5C9D-FA4E-D914-1BB2-0.8B670C77}"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10" width="15.00390625" hidden="1" customWidth="1"/>
    <col min="3" max="3" style="464" width="3.00390625" customWidth="1"/>
    <col min="4" max="4" style="465" width="6.00390625" customWidth="1"/>
    <col min="5" max="5" style="464" width="52.00390625" customWidth="1"/>
    <col min="6" max="6" style="464" width="48.00390625" customWidth="1"/>
    <col min="7" max="7" style="464" width="93.00390625" customWidth="1"/>
    <col min="8" max="8" style="464" width="8.00390625" customWidth="1"/>
    <col min="9" max="9" style="464" width="64.00390625" customWidth="1"/>
    <col min="10" max="10" style="464" width="9.140625" hidden="1"/>
  </cols>
  <sheetData>
    <row customHeight="1" ht="11.25" hidden="1">
      <c r="A1" s="510" t="s">
        <v>314</v>
      </c>
      <c r="J1" s="464" t="s">
        <v>14</v>
      </c>
    </row>
    <row customHeight="1" ht="22.5" hidden="1">
      <c r="A2" s="511"/>
      <c r="B2" s="511"/>
      <c r="C2" s="1738" t="s">
        <v>104</v>
      </c>
      <c r="D2" s="1529"/>
      <c r="E2" s="1535"/>
      <c r="F2" s="1558"/>
      <c r="H2" s="484"/>
      <c r="J2" s="464">
        <v>0</v>
      </c>
    </row>
    <row customHeight="1" ht="11.25" hidden="1">
      <c r="J3" s="464">
        <v>0</v>
      </c>
    </row>
    <row customHeight="1" ht="11.549999999999999">
      <c r="A4" s="1559"/>
      <c r="B4" s="1559"/>
      <c r="J4" s="464">
        <v>11</v>
      </c>
    </row>
    <row customHeight="1" ht="27.299999999999997">
      <c r="D5" s="226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267"/>
      <c r="F5" s="2268"/>
      <c r="I5" s="724"/>
      <c r="J5" s="464">
        <v>26</v>
      </c>
    </row>
    <row customHeight="1" ht="18">
      <c r="D6" s="2204" t="str">
        <f>IF(region_name=0,"Не определено",region_name)</f>
        <v>Приморский край</v>
      </c>
      <c r="E6" s="2204"/>
      <c r="F6" s="2204"/>
      <c r="I6" s="724"/>
      <c r="J6" s="464">
        <v>17</v>
      </c>
    </row>
    <row s="486" customFormat="1" customHeight="1" ht="11.549999999999999">
      <c r="A7" s="510"/>
      <c r="B7" s="510"/>
      <c r="D7" s="723"/>
      <c r="E7" s="723"/>
      <c r="F7" s="761"/>
      <c r="G7" s="723"/>
      <c r="J7" s="486">
        <v>11</v>
      </c>
    </row>
    <row customHeight="1" ht="11.25" hidden="1">
      <c r="A8" s="511"/>
      <c r="B8" s="511"/>
      <c r="C8" s="466"/>
      <c r="D8" s="472"/>
      <c r="E8" s="2235"/>
      <c r="F8" s="2235"/>
      <c r="J8" s="464">
        <v>0</v>
      </c>
    </row>
    <row customHeight="1" ht="11.549999999999999">
      <c r="A9" s="511"/>
      <c r="B9" s="511"/>
      <c r="C9" s="466"/>
      <c r="D9" s="2232" t="s">
        <v>315</v>
      </c>
      <c r="E9" s="2233"/>
      <c r="F9" s="2233"/>
      <c r="G9" s="2236" t="s">
        <v>316</v>
      </c>
      <c r="J9" s="464">
        <v>11</v>
      </c>
    </row>
    <row customHeight="1" ht="11.549999999999999">
      <c r="A10" s="511"/>
      <c r="B10" s="511"/>
      <c r="C10" s="466"/>
      <c r="D10" s="1483" t="s">
        <v>89</v>
      </c>
      <c r="E10" s="1485" t="s">
        <v>317</v>
      </c>
      <c r="F10" s="1485" t="s">
        <v>318</v>
      </c>
      <c r="G10" s="2237"/>
      <c r="J10" s="464">
        <v>11</v>
      </c>
    </row>
    <row customHeight="1" ht="1.05">
      <c r="A11" s="511"/>
      <c r="B11" s="511"/>
      <c r="C11" s="466"/>
      <c r="D11" s="473"/>
      <c r="E11" s="473"/>
      <c r="F11" s="473"/>
      <c r="G11" s="473"/>
      <c r="J11" s="464">
        <v>1</v>
      </c>
    </row>
    <row customHeight="1" ht="24">
      <c r="A12" s="511"/>
      <c r="B12" s="511"/>
      <c r="C12" s="466"/>
      <c r="D12" s="1529">
        <v>1</v>
      </c>
      <c r="E12" s="48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1914" t="str">
        <f>IF(org="","",org)</f>
        <v>АО "ДГК"</v>
      </c>
      <c r="G12" s="48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542"/>
      <c r="J12" s="464">
        <v>23</v>
      </c>
    </row>
    <row customHeight="1" ht="19.95">
      <c r="A13" s="511"/>
      <c r="B13" s="511"/>
      <c r="C13" s="466"/>
      <c r="D13" s="1529">
        <v>2</v>
      </c>
      <c r="E13" s="1536" t="s">
        <v>2092</v>
      </c>
      <c r="F13" s="1530" t="s">
        <v>321</v>
      </c>
      <c r="G13" s="483"/>
      <c r="H13" s="1542"/>
      <c r="J13" s="464">
        <v>19</v>
      </c>
    </row>
    <row customHeight="1" ht="19.95">
      <c r="A14" s="511"/>
      <c r="B14" s="511"/>
      <c r="C14" s="466"/>
      <c r="D14" s="1532" t="s">
        <v>731</v>
      </c>
      <c r="E14" s="1533" t="s">
        <v>2093</v>
      </c>
      <c r="F14" s="1535"/>
      <c r="G14" s="1534" t="s">
        <v>2094</v>
      </c>
      <c r="H14" s="1542"/>
      <c r="J14" s="464">
        <v>19</v>
      </c>
    </row>
    <row customHeight="1" ht="19.95">
      <c r="A15" s="511"/>
      <c r="B15" s="511"/>
      <c r="C15" s="466"/>
      <c r="D15" s="1532" t="s">
        <v>322</v>
      </c>
      <c r="E15" s="1533" t="s">
        <v>2095</v>
      </c>
      <c r="F15" s="1535"/>
      <c r="G15" s="1534" t="s">
        <v>2096</v>
      </c>
      <c r="H15" s="1542"/>
      <c r="J15" s="464">
        <v>19</v>
      </c>
    </row>
    <row customHeight="1" ht="24">
      <c r="A16" s="511"/>
      <c r="B16" s="511"/>
      <c r="C16" s="466"/>
      <c r="D16" s="1532" t="s">
        <v>325</v>
      </c>
      <c r="E16" s="1531" t="s">
        <v>2097</v>
      </c>
      <c r="F16" s="1540"/>
      <c r="G16" s="483" t="s">
        <v>2098</v>
      </c>
      <c r="H16" s="1542"/>
      <c r="J16" s="464">
        <v>23</v>
      </c>
    </row>
    <row customHeight="1" ht="48.29999999999999">
      <c r="A17" s="511"/>
      <c r="B17" s="511"/>
      <c r="C17" s="466"/>
      <c r="D17" s="1529">
        <v>3</v>
      </c>
      <c r="E17" s="1536" t="s">
        <v>2099</v>
      </c>
      <c r="F17" s="1535"/>
      <c r="G17" s="483" t="s">
        <v>2100</v>
      </c>
      <c r="H17" s="1542"/>
      <c r="J17" s="464">
        <v>46</v>
      </c>
    </row>
    <row customHeight="1" ht="48.29999999999999">
      <c r="A18" s="1484">
        <v>1</v>
      </c>
      <c r="B18" s="511"/>
      <c r="C18" s="1486"/>
      <c r="D18" s="1529" t="s">
        <v>92</v>
      </c>
      <c r="E18" s="1536" t="s">
        <v>2101</v>
      </c>
      <c r="F18" s="1535"/>
      <c r="G18" s="483" t="s">
        <v>2100</v>
      </c>
      <c r="H18" s="1542"/>
      <c r="I18" s="861"/>
      <c r="J18" s="464">
        <v>46</v>
      </c>
    </row>
    <row customHeight="1" ht="23.25">
      <c r="A19" s="511"/>
      <c r="B19" s="511"/>
      <c r="C19" s="466"/>
      <c r="D19" s="1529" t="s">
        <v>119</v>
      </c>
      <c r="E19" s="1536" t="s">
        <v>2102</v>
      </c>
      <c r="F19" s="1530" t="s">
        <v>321</v>
      </c>
      <c r="G19" s="2499" t="s">
        <v>2103</v>
      </c>
      <c r="H19" s="484"/>
      <c r="J19" s="464">
        <v>22</v>
      </c>
    </row>
    <row s="1539" customFormat="1" customHeight="1" ht="5.25" hidden="1">
      <c r="A20" s="511"/>
      <c r="B20" s="511"/>
      <c r="C20" s="1538"/>
      <c r="D20" s="1537" t="s">
        <v>1425</v>
      </c>
      <c r="E20" s="1023"/>
      <c r="F20" s="1022"/>
      <c r="G20" s="2500"/>
      <c r="J20" s="1539">
        <v>0</v>
      </c>
    </row>
    <row customHeight="1" ht="15.75">
      <c r="A21" s="511"/>
      <c r="B21" s="511"/>
      <c r="C21" s="466"/>
      <c r="D21" s="476"/>
      <c r="E21" s="424" t="s">
        <v>354</v>
      </c>
      <c r="F21" s="478"/>
      <c r="G21" s="2501"/>
      <c r="H21" s="1542"/>
      <c r="J21" s="464">
        <v>15</v>
      </c>
    </row>
    <row s="510" customFormat="1" customHeight="1" ht="26.25">
      <c r="A22" s="511"/>
      <c r="B22" s="511"/>
      <c r="C22" s="511"/>
      <c r="D22" s="1529" t="s">
        <v>93</v>
      </c>
      <c r="E22" s="483" t="s">
        <v>2104</v>
      </c>
      <c r="F22" s="1535"/>
      <c r="G22" s="483" t="s">
        <v>2105</v>
      </c>
      <c r="H22" s="1541"/>
      <c r="J22" s="510">
        <v>25</v>
      </c>
    </row>
    <row s="510" customFormat="1" customHeight="1" ht="19.95">
      <c r="A23" s="511"/>
      <c r="B23" s="511"/>
      <c r="C23" s="511"/>
      <c r="D23" s="1529" t="s">
        <v>94</v>
      </c>
      <c r="E23" s="1536" t="s">
        <v>2106</v>
      </c>
      <c r="F23" s="1540"/>
      <c r="G23" s="483" t="s">
        <v>2107</v>
      </c>
      <c r="H23" s="1541"/>
      <c r="J23" s="510">
        <v>19</v>
      </c>
    </row>
    <row s="510" customFormat="1" customHeight="1" ht="144" hidden="1">
      <c r="A24" s="511"/>
      <c r="B24" s="511"/>
      <c r="C24" s="511"/>
      <c r="D24" s="1529" t="s">
        <v>120</v>
      </c>
      <c r="E24" s="190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904"/>
      <c r="G24" s="190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541"/>
      <c r="J24" s="510">
        <v>0</v>
      </c>
    </row>
    <row customHeight="1" ht="11.25" hidden="1">
      <c r="A25" s="510" t="s">
        <v>83</v>
      </c>
      <c r="B25" s="510">
        <v>0</v>
      </c>
      <c r="C25" s="464">
        <v>3</v>
      </c>
      <c r="D25" s="465">
        <v>6</v>
      </c>
      <c r="E25" s="464">
        <v>52</v>
      </c>
      <c r="F25" s="464">
        <v>48</v>
      </c>
      <c r="G25" s="464">
        <v>93</v>
      </c>
      <c r="H25" s="464">
        <v>8</v>
      </c>
      <c r="I25" s="464">
        <v>64</v>
      </c>
      <c r="J25" s="464">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40ACA4-3BAE-4523-08FA-0.92A7D722}"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48" width="3.00390625" customWidth="1"/>
    <col min="5" max="5" style="1644" width="6.00390625" customWidth="1"/>
    <col min="6" max="6" style="1644" width="46.00390625" customWidth="1"/>
    <col min="7" max="8" style="1644" width="16.00390625" customWidth="1"/>
    <col min="9" max="9" style="1644" width="35.00390625" customWidth="1"/>
    <col min="10" max="10" style="1644" width="89.00390625" customWidth="1"/>
    <col min="11" max="11" style="1633" width="3.00390625" customWidth="1"/>
    <col min="12" max="14" style="1633" width="8.00390625" customWidth="1"/>
    <col min="15" max="15" style="1633" width="25.00390625" customWidth="1"/>
    <col min="16" max="16" style="1633" width="14.00390625" customWidth="1"/>
    <col min="17" max="20" style="234" width="8.00390625" customWidth="1"/>
    <col min="21" max="254" style="1644" width="8.00390625" customWidth="1"/>
    <col min="255" max="255" style="1644" width="9.140625" hidden="1"/>
  </cols>
  <sheetData>
    <row customHeight="1" ht="22.5" hidden="1">
      <c r="F1" s="1640" t="s">
        <v>2108</v>
      </c>
      <c r="G1" s="1640" t="s">
        <v>48</v>
      </c>
      <c r="H1" s="1640" t="s">
        <v>50</v>
      </c>
      <c r="IU1" s="1164" t="s">
        <v>14</v>
      </c>
    </row>
    <row s="1856" customFormat="1" customHeight="1" ht="22.5" hidden="1">
      <c r="A2" s="840"/>
      <c r="B2" s="1169">
        <v>1</v>
      </c>
      <c r="C2" s="1169"/>
      <c r="D2" s="1934" t="s">
        <v>104</v>
      </c>
      <c r="E2" s="1493"/>
      <c r="F2" s="1500"/>
      <c r="G2" s="1500"/>
      <c r="H2" s="1500"/>
      <c r="I2" s="1990"/>
      <c r="J2" s="1991"/>
      <c r="K2" s="1544"/>
      <c r="L2" s="520"/>
      <c r="M2" s="520"/>
      <c r="N2" s="509" t="str">
        <f t="array" ref="N2:N2">IF(ISERROR(MATCH(MID(O2,1,250),MID(note_ter,1,250),0)),"n","y")</f>
        <v>n</v>
      </c>
      <c r="O2" s="520"/>
      <c r="P2" s="509" t="str">
        <f>G2&amp;"("&amp;J2&amp;")"</f>
        <v>()</v>
      </c>
      <c r="Q2" s="1169"/>
      <c r="R2" s="1169"/>
      <c r="S2" s="429"/>
      <c r="T2" s="1169"/>
      <c r="U2" s="1169"/>
      <c r="V2" s="1169"/>
      <c r="W2" s="431"/>
      <c r="X2" s="431"/>
      <c r="Y2" s="428"/>
      <c r="Z2" s="428"/>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31"/>
      <c r="BU2" s="431"/>
      <c r="BV2" s="431"/>
      <c r="BW2" s="431"/>
      <c r="BX2" s="431"/>
      <c r="BY2" s="431"/>
      <c r="BZ2" s="431"/>
      <c r="CA2" s="431"/>
      <c r="CB2" s="431"/>
      <c r="CC2" s="431"/>
      <c r="IU2" s="432">
        <v>0</v>
      </c>
    </row>
    <row s="1651" customFormat="1" customHeight="1" ht="4.2">
      <c r="A3" s="505"/>
      <c r="D3" s="503"/>
      <c r="F3" s="256" t="s">
        <v>84</v>
      </c>
      <c r="G3" s="503" t="s">
        <v>85</v>
      </c>
      <c r="H3" s="503"/>
      <c r="I3" s="503"/>
      <c r="J3" s="236" t="s">
        <v>86</v>
      </c>
      <c r="K3" s="256" t="s">
        <v>84</v>
      </c>
      <c r="L3" s="256"/>
      <c r="M3" s="256"/>
      <c r="N3" s="256"/>
      <c r="O3" s="257"/>
      <c r="P3" s="256"/>
      <c r="Q3" s="256"/>
      <c r="R3" s="256"/>
      <c r="S3" s="256"/>
      <c r="T3" s="25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520">
        <v>4</v>
      </c>
    </row>
    <row s="1827" customFormat="1" customHeight="1" ht="14.699999999999998">
      <c r="A4" s="1164"/>
      <c r="B4" s="1169"/>
      <c r="C4" s="1164"/>
      <c r="D4" s="1504"/>
      <c r="E4" s="518"/>
      <c r="F4" s="1651"/>
      <c r="G4" s="518"/>
      <c r="H4" s="518"/>
      <c r="I4" s="518"/>
      <c r="J4" s="175"/>
      <c r="K4" s="256"/>
      <c r="L4" s="509"/>
      <c r="M4" s="509"/>
      <c r="N4" s="509"/>
      <c r="O4" s="235"/>
      <c r="P4" s="509"/>
      <c r="Q4" s="234"/>
      <c r="R4" s="234"/>
      <c r="S4" s="234"/>
      <c r="T4" s="234"/>
      <c r="IU4" s="516">
        <v>14</v>
      </c>
    </row>
    <row s="1827" customFormat="1" customHeight="1" ht="27.299999999999997">
      <c r="A5" s="1164"/>
      <c r="B5" s="1169"/>
      <c r="C5" s="1164"/>
      <c r="D5" s="1504"/>
      <c r="E5" s="212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8"/>
      <c r="G5" s="2128"/>
      <c r="H5" s="2128"/>
      <c r="I5" s="2128"/>
      <c r="J5" s="2128"/>
      <c r="K5" s="256"/>
      <c r="L5" s="509"/>
      <c r="M5" s="509"/>
      <c r="N5" s="509"/>
      <c r="O5" s="235"/>
      <c r="P5" s="509"/>
      <c r="Q5" s="234"/>
      <c r="R5" s="234"/>
      <c r="S5" s="234"/>
      <c r="T5" s="234"/>
      <c r="IU5" s="516">
        <v>26</v>
      </c>
    </row>
    <row s="1827" customFormat="1" customHeight="1" ht="14.699999999999998">
      <c r="A6" s="1164"/>
      <c r="B6" s="1169"/>
      <c r="C6" s="1164"/>
      <c r="D6" s="1504"/>
      <c r="E6" s="518"/>
      <c r="F6" s="176"/>
      <c r="G6" s="176"/>
      <c r="H6" s="176"/>
      <c r="I6" s="176"/>
      <c r="J6" s="177"/>
      <c r="K6" s="509"/>
      <c r="L6" s="509"/>
      <c r="M6" s="509"/>
      <c r="N6" s="509"/>
      <c r="O6" s="235"/>
      <c r="P6" s="509"/>
      <c r="Q6" s="234"/>
      <c r="R6" s="234"/>
      <c r="S6" s="234"/>
      <c r="T6" s="234"/>
      <c r="IU6" s="516">
        <v>14</v>
      </c>
    </row>
    <row s="1827" customFormat="1" customHeight="1" ht="14.699999999999998">
      <c r="A7" s="1164"/>
      <c r="B7" s="1169"/>
      <c r="C7" s="1164"/>
      <c r="D7" s="1504"/>
      <c r="E7" s="2129" t="s">
        <v>315</v>
      </c>
      <c r="F7" s="2130"/>
      <c r="G7" s="2130"/>
      <c r="H7" s="2130"/>
      <c r="I7" s="2130"/>
      <c r="J7" s="2502" t="s">
        <v>316</v>
      </c>
      <c r="K7" s="509"/>
      <c r="L7" s="509"/>
      <c r="M7" s="509"/>
      <c r="N7" s="509"/>
      <c r="O7" s="235"/>
      <c r="P7" s="509"/>
      <c r="Q7" s="234"/>
      <c r="R7" s="234"/>
      <c r="S7" s="234"/>
      <c r="T7" s="234"/>
      <c r="IU7" s="516">
        <v>14</v>
      </c>
    </row>
    <row s="1827" customFormat="1" customHeight="1" ht="21">
      <c r="A8" s="1164"/>
      <c r="B8" s="1169"/>
      <c r="C8" s="1164"/>
      <c r="D8" s="1504"/>
      <c r="E8" s="1557" t="s">
        <v>89</v>
      </c>
      <c r="F8" s="1549" t="s">
        <v>2108</v>
      </c>
      <c r="G8" s="1549" t="s">
        <v>48</v>
      </c>
      <c r="H8" s="1549" t="s">
        <v>50</v>
      </c>
      <c r="I8" s="1549" t="s">
        <v>2109</v>
      </c>
      <c r="J8" s="2503"/>
      <c r="K8" s="509"/>
      <c r="L8" s="509"/>
      <c r="M8" s="509"/>
      <c r="N8" s="509"/>
      <c r="O8" s="235"/>
      <c r="P8" s="509"/>
      <c r="Q8" s="234"/>
      <c r="R8" s="234"/>
      <c r="S8" s="234"/>
      <c r="T8" s="234"/>
      <c r="IU8" s="516">
        <v>20</v>
      </c>
    </row>
    <row s="1856" customFormat="1" customHeight="1" ht="23.25">
      <c r="A9" s="1640"/>
      <c r="B9" s="1169">
        <v>1</v>
      </c>
      <c r="C9" s="1169"/>
      <c r="D9" s="810"/>
      <c r="E9" s="1493">
        <v>1</v>
      </c>
      <c r="F9" s="1556"/>
      <c r="G9" s="1500"/>
      <c r="H9" s="1500"/>
      <c r="I9" s="1547"/>
      <c r="J9" s="21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44"/>
      <c r="L9" s="520"/>
      <c r="M9" s="520"/>
      <c r="N9" s="509" t="str">
        <f t="array" ref="N9:N9">IF(ISERROR(MATCH(MID(O9,1,250),MID(note_ter,1,250),0)),"n","y")</f>
        <v>n</v>
      </c>
      <c r="O9" s="520"/>
      <c r="P9" s="50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9"/>
      <c r="R9" s="1169"/>
      <c r="S9" s="429"/>
      <c r="T9" s="1169"/>
      <c r="U9" s="1169"/>
      <c r="V9" s="1169"/>
      <c r="W9" s="431"/>
      <c r="X9" s="431"/>
      <c r="Y9" s="428"/>
      <c r="Z9" s="428"/>
      <c r="AA9" s="428"/>
      <c r="AB9" s="428"/>
      <c r="AC9" s="428"/>
      <c r="AD9" s="428"/>
      <c r="AE9" s="428"/>
      <c r="AF9" s="428"/>
      <c r="AG9" s="428"/>
      <c r="AH9" s="428"/>
      <c r="AI9" s="428"/>
      <c r="AJ9" s="428"/>
      <c r="AK9" s="428"/>
      <c r="AL9" s="428"/>
      <c r="AM9" s="428"/>
      <c r="AN9" s="428"/>
      <c r="AO9" s="428"/>
      <c r="AP9" s="428"/>
      <c r="AQ9" s="428"/>
      <c r="AR9" s="428"/>
      <c r="AS9" s="428"/>
      <c r="AT9" s="428"/>
      <c r="AU9" s="428"/>
      <c r="AV9" s="428"/>
      <c r="AW9" s="428"/>
      <c r="AX9" s="428"/>
      <c r="AY9" s="428"/>
      <c r="AZ9" s="428"/>
      <c r="BA9" s="428"/>
      <c r="BB9" s="428"/>
      <c r="BC9" s="428"/>
      <c r="BD9" s="428"/>
      <c r="BE9" s="428"/>
      <c r="BF9" s="428"/>
      <c r="BG9" s="428"/>
      <c r="BH9" s="428"/>
      <c r="BI9" s="428"/>
      <c r="BJ9" s="428"/>
      <c r="BK9" s="428"/>
      <c r="BL9" s="428"/>
      <c r="BM9" s="428"/>
      <c r="BN9" s="428"/>
      <c r="BO9" s="428"/>
      <c r="BP9" s="428"/>
      <c r="BQ9" s="428"/>
      <c r="BR9" s="428"/>
      <c r="BS9" s="428"/>
      <c r="BT9" s="431"/>
      <c r="BU9" s="431"/>
      <c r="BV9" s="431"/>
      <c r="BW9" s="431"/>
      <c r="BX9" s="431"/>
      <c r="BY9" s="431"/>
      <c r="BZ9" s="431"/>
      <c r="CA9" s="431"/>
      <c r="CB9" s="431"/>
      <c r="CC9" s="431"/>
      <c r="IU9" s="432">
        <v>22</v>
      </c>
    </row>
    <row s="1856" customFormat="1" customHeight="1" ht="15.75">
      <c r="A10" s="1640"/>
      <c r="B10" s="1169"/>
      <c r="C10" s="421"/>
      <c r="D10" s="810"/>
      <c r="E10" s="1550"/>
      <c r="F10" s="1509" t="s">
        <v>2110</v>
      </c>
      <c r="G10" s="1551"/>
      <c r="H10" s="1551"/>
      <c r="I10" s="1905"/>
      <c r="J10" s="2199"/>
      <c r="K10" s="1545"/>
      <c r="L10" s="520"/>
      <c r="M10" s="520"/>
      <c r="N10" s="520"/>
      <c r="O10" s="509"/>
      <c r="P10" s="520"/>
      <c r="Q10" s="1169"/>
      <c r="R10" s="1169"/>
      <c r="S10" s="429"/>
      <c r="T10" s="1169"/>
      <c r="U10" s="1169"/>
      <c r="V10" s="1169"/>
      <c r="W10" s="431"/>
      <c r="X10" s="431"/>
      <c r="Y10" s="428"/>
      <c r="Z10" s="428"/>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31"/>
      <c r="BU10" s="431"/>
      <c r="BV10" s="431"/>
      <c r="BW10" s="431"/>
      <c r="BX10" s="431"/>
      <c r="BY10" s="431"/>
      <c r="BZ10" s="431"/>
      <c r="CA10" s="431"/>
      <c r="CB10" s="431"/>
      <c r="CC10" s="431"/>
      <c r="IU10" s="432">
        <v>15</v>
      </c>
    </row>
    <row s="1827" customFormat="1" customHeight="1" ht="22.049999999999997">
      <c r="A11" s="1164"/>
      <c r="B11" s="1169"/>
      <c r="C11" s="1164"/>
      <c r="D11" s="460"/>
      <c r="E11" s="189"/>
      <c r="F11" s="189"/>
      <c r="G11" s="189"/>
      <c r="H11" s="189"/>
      <c r="I11" s="189"/>
      <c r="J11" s="189"/>
      <c r="K11" s="509"/>
      <c r="L11" s="509"/>
      <c r="M11" s="509"/>
      <c r="N11" s="509"/>
      <c r="O11" s="235"/>
      <c r="P11" s="509"/>
      <c r="Q11" s="234"/>
      <c r="R11" s="234"/>
      <c r="S11" s="234"/>
      <c r="T11" s="234"/>
      <c r="IU11" s="516">
        <v>21</v>
      </c>
    </row>
    <row s="1827" customFormat="1" customHeight="1" ht="14.699999999999998">
      <c r="A12" s="1164"/>
      <c r="B12" s="1169"/>
      <c r="C12" s="1164"/>
      <c r="D12" s="460"/>
      <c r="E12" s="1164"/>
      <c r="F12" s="1164"/>
      <c r="G12" s="1164"/>
      <c r="H12" s="1164"/>
      <c r="I12" s="1164"/>
      <c r="J12" s="1164"/>
      <c r="K12" s="509"/>
      <c r="L12" s="509"/>
      <c r="M12" s="509"/>
      <c r="N12" s="509"/>
      <c r="O12" s="235"/>
      <c r="P12" s="509"/>
      <c r="Q12" s="234"/>
      <c r="R12" s="234"/>
      <c r="S12" s="234"/>
      <c r="T12" s="234"/>
      <c r="IU12" s="516">
        <v>14</v>
      </c>
    </row>
    <row s="1827" customFormat="1" customHeight="1" ht="1.05">
      <c r="A13" s="1164"/>
      <c r="B13" s="1169"/>
      <c r="C13" s="1164"/>
      <c r="D13" s="460"/>
      <c r="E13" s="1164"/>
      <c r="F13" s="1164"/>
      <c r="G13" s="1164"/>
      <c r="H13" s="1164"/>
      <c r="I13" s="1164"/>
      <c r="J13" s="1164"/>
      <c r="K13" s="509"/>
      <c r="L13" s="509"/>
      <c r="M13" s="509"/>
      <c r="N13" s="509"/>
      <c r="O13" s="235"/>
      <c r="P13" s="509"/>
      <c r="Q13" s="234"/>
      <c r="R13" s="234"/>
      <c r="S13" s="234"/>
      <c r="T13" s="234"/>
      <c r="IU13" s="516">
        <v>1</v>
      </c>
    </row>
    <row s="1073" customFormat="1" customHeight="1" ht="10.5">
      <c r="B14" s="843"/>
      <c r="D14" s="191"/>
      <c r="K14" s="509"/>
      <c r="L14" s="509"/>
      <c r="M14" s="509"/>
      <c r="N14" s="509"/>
      <c r="O14" s="235"/>
      <c r="P14" s="509"/>
      <c r="Q14" s="234"/>
      <c r="R14" s="234"/>
      <c r="S14" s="234"/>
      <c r="T14" s="234"/>
      <c r="IU14" s="190">
        <v>10</v>
      </c>
    </row>
    <row s="1073" customFormat="1" customHeight="1" ht="10.5">
      <c r="B15" s="843"/>
      <c r="D15" s="191"/>
      <c r="K15" s="509"/>
      <c r="L15" s="509"/>
      <c r="M15" s="509"/>
      <c r="N15" s="509"/>
      <c r="O15" s="235"/>
      <c r="P15" s="509"/>
      <c r="Q15" s="234"/>
      <c r="R15" s="234"/>
      <c r="S15" s="234"/>
      <c r="T15" s="234"/>
      <c r="IU15" s="190">
        <v>10</v>
      </c>
    </row>
    <row customHeight="1" ht="14.699999999999998">
      <c r="IU16" s="1164">
        <v>14</v>
      </c>
    </row>
    <row customHeight="1" ht="14.699999999999998">
      <c r="IU17" s="1164">
        <v>14</v>
      </c>
    </row>
    <row customHeight="1" ht="14.699999999999998">
      <c r="IU18" s="1164">
        <v>14</v>
      </c>
    </row>
    <row customHeight="1" ht="14.699999999999998">
      <c r="G19" s="382"/>
      <c r="H19" s="382"/>
      <c r="I19" s="382"/>
      <c r="IU19" s="1164">
        <v>14</v>
      </c>
    </row>
    <row customHeight="1" ht="14.699999999999998">
      <c r="IU20" s="1164">
        <v>14</v>
      </c>
    </row>
    <row customHeight="1" ht="14.699999999999998">
      <c r="IU21" s="1164">
        <v>14</v>
      </c>
    </row>
    <row customHeight="1" ht="14.699999999999998">
      <c r="IU22" s="1164">
        <v>14</v>
      </c>
    </row>
    <row customHeight="1" ht="14.699999999999998">
      <c r="K23" s="1164"/>
      <c r="L23" s="1164"/>
      <c r="M23" s="1164"/>
      <c r="IU23" s="1164">
        <v>14</v>
      </c>
    </row>
    <row customHeight="1" ht="22.5" hidden="1">
      <c r="A24" s="1164" t="s">
        <v>83</v>
      </c>
      <c r="B24" s="1169">
        <v>0</v>
      </c>
      <c r="C24" s="1164">
        <v>0</v>
      </c>
      <c r="D24" s="460">
        <v>3</v>
      </c>
      <c r="E24" s="1164">
        <v>6</v>
      </c>
      <c r="F24" s="1164">
        <v>46</v>
      </c>
      <c r="G24" s="1164">
        <v>16</v>
      </c>
      <c r="H24" s="1164">
        <v>16</v>
      </c>
      <c r="I24" s="1164">
        <v>35</v>
      </c>
      <c r="J24" s="1164">
        <v>89</v>
      </c>
      <c r="K24" s="509">
        <v>3</v>
      </c>
      <c r="L24" s="509">
        <v>8</v>
      </c>
      <c r="M24" s="509">
        <v>8</v>
      </c>
      <c r="N24" s="509">
        <v>8</v>
      </c>
      <c r="O24" s="235">
        <v>25</v>
      </c>
      <c r="P24" s="509">
        <v>14</v>
      </c>
      <c r="Q24" s="234">
        <v>8</v>
      </c>
      <c r="R24" s="234">
        <v>8</v>
      </c>
      <c r="S24" s="234">
        <v>8</v>
      </c>
      <c r="T24" s="234">
        <v>8</v>
      </c>
      <c r="U24" s="1164">
        <v>8</v>
      </c>
      <c r="V24" s="1164">
        <v>8</v>
      </c>
      <c r="W24" s="1164">
        <v>8</v>
      </c>
      <c r="X24" s="1164">
        <v>8</v>
      </c>
      <c r="Y24" s="1164">
        <v>8</v>
      </c>
      <c r="Z24" s="1164">
        <v>8</v>
      </c>
      <c r="AA24" s="1164">
        <v>8</v>
      </c>
      <c r="AB24" s="1164">
        <v>8</v>
      </c>
      <c r="AC24" s="1164">
        <v>8</v>
      </c>
      <c r="AD24" s="1164">
        <v>8</v>
      </c>
      <c r="AE24" s="1164">
        <v>8</v>
      </c>
      <c r="AF24" s="1164">
        <v>8</v>
      </c>
      <c r="AG24" s="1164">
        <v>8</v>
      </c>
      <c r="AH24" s="1164">
        <v>8</v>
      </c>
      <c r="AI24" s="1164">
        <v>8</v>
      </c>
      <c r="AJ24" s="1164">
        <v>8</v>
      </c>
      <c r="AK24" s="1164">
        <v>8</v>
      </c>
      <c r="AL24" s="1164">
        <v>8</v>
      </c>
      <c r="AM24" s="1164">
        <v>8</v>
      </c>
      <c r="AN24" s="1164">
        <v>8</v>
      </c>
      <c r="AO24" s="1164">
        <v>8</v>
      </c>
      <c r="AP24" s="1164">
        <v>8</v>
      </c>
      <c r="AQ24" s="1164">
        <v>8</v>
      </c>
      <c r="AR24" s="1164">
        <v>8</v>
      </c>
      <c r="AS24" s="1164">
        <v>8</v>
      </c>
      <c r="AT24" s="1164">
        <v>8</v>
      </c>
      <c r="AU24" s="1164">
        <v>8</v>
      </c>
      <c r="AV24" s="1164">
        <v>8</v>
      </c>
      <c r="AW24" s="1164">
        <v>8</v>
      </c>
      <c r="AX24" s="1164">
        <v>8</v>
      </c>
      <c r="AY24" s="1164">
        <v>8</v>
      </c>
      <c r="AZ24" s="1164">
        <v>8</v>
      </c>
      <c r="BA24" s="1164">
        <v>8</v>
      </c>
      <c r="BB24" s="1164">
        <v>8</v>
      </c>
      <c r="BC24" s="1164">
        <v>8</v>
      </c>
      <c r="BD24" s="1164">
        <v>8</v>
      </c>
      <c r="BE24" s="1164">
        <v>8</v>
      </c>
      <c r="BF24" s="1164">
        <v>8</v>
      </c>
      <c r="BG24" s="1164">
        <v>8</v>
      </c>
      <c r="BH24" s="1164">
        <v>8</v>
      </c>
      <c r="BI24" s="1164">
        <v>8</v>
      </c>
      <c r="BJ24" s="1164">
        <v>8</v>
      </c>
      <c r="BK24" s="1164">
        <v>8</v>
      </c>
      <c r="BL24" s="1164">
        <v>8</v>
      </c>
      <c r="BM24" s="1164">
        <v>8</v>
      </c>
      <c r="BN24" s="1164">
        <v>8</v>
      </c>
      <c r="BO24" s="1164">
        <v>8</v>
      </c>
      <c r="BP24" s="1164">
        <v>8</v>
      </c>
      <c r="BQ24" s="1164">
        <v>8</v>
      </c>
      <c r="BR24" s="1164">
        <v>8</v>
      </c>
      <c r="BS24" s="1164">
        <v>8</v>
      </c>
      <c r="BT24" s="1164">
        <v>8</v>
      </c>
      <c r="BU24" s="1164">
        <v>8</v>
      </c>
      <c r="BV24" s="1164">
        <v>8</v>
      </c>
      <c r="BW24" s="1164">
        <v>8</v>
      </c>
      <c r="BX24" s="1164">
        <v>8</v>
      </c>
      <c r="BY24" s="1164">
        <v>8</v>
      </c>
      <c r="BZ24" s="1164">
        <v>8</v>
      </c>
      <c r="CA24" s="1164">
        <v>8</v>
      </c>
      <c r="CB24" s="1164">
        <v>8</v>
      </c>
      <c r="CC24" s="1164">
        <v>8</v>
      </c>
      <c r="CD24" s="1164">
        <v>8</v>
      </c>
      <c r="CE24" s="1164">
        <v>8</v>
      </c>
      <c r="CF24" s="1164">
        <v>8</v>
      </c>
      <c r="CG24" s="1164">
        <v>8</v>
      </c>
      <c r="CH24" s="1164">
        <v>8</v>
      </c>
      <c r="CI24" s="1164">
        <v>8</v>
      </c>
      <c r="CJ24" s="1164">
        <v>8</v>
      </c>
      <c r="CK24" s="1164">
        <v>8</v>
      </c>
      <c r="CL24" s="1164">
        <v>8</v>
      </c>
      <c r="CM24" s="1164">
        <v>8</v>
      </c>
      <c r="CN24" s="1164">
        <v>8</v>
      </c>
      <c r="CO24" s="1164">
        <v>8</v>
      </c>
      <c r="CP24" s="1164">
        <v>8</v>
      </c>
      <c r="CQ24" s="1164">
        <v>8</v>
      </c>
      <c r="CR24" s="1164">
        <v>8</v>
      </c>
      <c r="CS24" s="1164">
        <v>8</v>
      </c>
      <c r="CT24" s="1164">
        <v>8</v>
      </c>
      <c r="CU24" s="1164">
        <v>8</v>
      </c>
      <c r="CV24" s="1164">
        <v>8</v>
      </c>
      <c r="CW24" s="1164">
        <v>8</v>
      </c>
      <c r="CX24" s="1164">
        <v>8</v>
      </c>
      <c r="CY24" s="1164">
        <v>8</v>
      </c>
      <c r="CZ24" s="1164">
        <v>8</v>
      </c>
      <c r="DA24" s="1164">
        <v>8</v>
      </c>
      <c r="DB24" s="1164">
        <v>8</v>
      </c>
      <c r="DC24" s="1164">
        <v>8</v>
      </c>
      <c r="DD24" s="1164">
        <v>8</v>
      </c>
      <c r="DE24" s="1164">
        <v>8</v>
      </c>
      <c r="DF24" s="1164">
        <v>8</v>
      </c>
      <c r="DG24" s="1164">
        <v>8</v>
      </c>
      <c r="DH24" s="1164">
        <v>8</v>
      </c>
      <c r="DI24" s="1164">
        <v>8</v>
      </c>
      <c r="DJ24" s="1164">
        <v>8</v>
      </c>
      <c r="DK24" s="1164">
        <v>8</v>
      </c>
      <c r="DL24" s="1164">
        <v>8</v>
      </c>
      <c r="DM24" s="1164">
        <v>8</v>
      </c>
      <c r="DN24" s="1164">
        <v>8</v>
      </c>
      <c r="DO24" s="1164">
        <v>8</v>
      </c>
      <c r="DP24" s="1164">
        <v>8</v>
      </c>
      <c r="DQ24" s="1164">
        <v>8</v>
      </c>
      <c r="DR24" s="1164">
        <v>8</v>
      </c>
      <c r="DS24" s="1164">
        <v>8</v>
      </c>
      <c r="DT24" s="1164">
        <v>8</v>
      </c>
      <c r="DU24" s="1164">
        <v>8</v>
      </c>
      <c r="DV24" s="1164">
        <v>8</v>
      </c>
      <c r="DW24" s="1164">
        <v>8</v>
      </c>
      <c r="DX24" s="1164">
        <v>8</v>
      </c>
      <c r="DY24" s="1164">
        <v>8</v>
      </c>
      <c r="DZ24" s="1164">
        <v>8</v>
      </c>
      <c r="EA24" s="1164">
        <v>8</v>
      </c>
      <c r="EB24" s="1164">
        <v>8</v>
      </c>
      <c r="EC24" s="1164">
        <v>8</v>
      </c>
      <c r="ED24" s="1164">
        <v>8</v>
      </c>
      <c r="EE24" s="1164">
        <v>8</v>
      </c>
      <c r="EF24" s="1164">
        <v>8</v>
      </c>
      <c r="EG24" s="1164">
        <v>8</v>
      </c>
      <c r="EH24" s="1164">
        <v>8</v>
      </c>
      <c r="EI24" s="1164">
        <v>8</v>
      </c>
      <c r="EJ24" s="1164">
        <v>8</v>
      </c>
      <c r="EK24" s="1164">
        <v>8</v>
      </c>
      <c r="EL24" s="1164">
        <v>8</v>
      </c>
      <c r="EM24" s="1164">
        <v>8</v>
      </c>
      <c r="EN24" s="1164">
        <v>8</v>
      </c>
      <c r="EO24" s="1164">
        <v>8</v>
      </c>
      <c r="EP24" s="1164">
        <v>8</v>
      </c>
      <c r="EQ24" s="1164">
        <v>8</v>
      </c>
      <c r="ER24" s="1164">
        <v>8</v>
      </c>
      <c r="ES24" s="1164">
        <v>8</v>
      </c>
      <c r="ET24" s="1164">
        <v>8</v>
      </c>
      <c r="EU24" s="1164">
        <v>8</v>
      </c>
      <c r="EV24" s="1164">
        <v>8</v>
      </c>
      <c r="EW24" s="1164">
        <v>8</v>
      </c>
      <c r="EX24" s="1164">
        <v>8</v>
      </c>
      <c r="EY24" s="1164">
        <v>8</v>
      </c>
      <c r="EZ24" s="1164">
        <v>8</v>
      </c>
      <c r="FA24" s="1164">
        <v>8</v>
      </c>
      <c r="FB24" s="1164">
        <v>8</v>
      </c>
      <c r="FC24" s="1164">
        <v>8</v>
      </c>
      <c r="FD24" s="1164">
        <v>8</v>
      </c>
      <c r="FE24" s="1164">
        <v>8</v>
      </c>
      <c r="FF24" s="1164">
        <v>8</v>
      </c>
      <c r="FG24" s="1164">
        <v>8</v>
      </c>
      <c r="FH24" s="1164">
        <v>8</v>
      </c>
      <c r="FI24" s="1164">
        <v>8</v>
      </c>
      <c r="FJ24" s="1164">
        <v>8</v>
      </c>
      <c r="FK24" s="1164">
        <v>8</v>
      </c>
      <c r="FL24" s="1164">
        <v>8</v>
      </c>
      <c r="FM24" s="1164">
        <v>8</v>
      </c>
      <c r="FN24" s="1164">
        <v>8</v>
      </c>
      <c r="FO24" s="1164">
        <v>8</v>
      </c>
      <c r="FP24" s="1164">
        <v>8</v>
      </c>
      <c r="FQ24" s="1164">
        <v>8</v>
      </c>
      <c r="FR24" s="1164">
        <v>8</v>
      </c>
      <c r="FS24" s="1164">
        <v>8</v>
      </c>
      <c r="FT24" s="1164">
        <v>8</v>
      </c>
      <c r="FU24" s="1164">
        <v>8</v>
      </c>
      <c r="FV24" s="1164">
        <v>8</v>
      </c>
      <c r="FW24" s="1164">
        <v>8</v>
      </c>
      <c r="FX24" s="1164">
        <v>8</v>
      </c>
      <c r="FY24" s="1164">
        <v>8</v>
      </c>
      <c r="FZ24" s="1164">
        <v>8</v>
      </c>
      <c r="GA24" s="1164">
        <v>8</v>
      </c>
      <c r="GB24" s="1164">
        <v>8</v>
      </c>
      <c r="GC24" s="1164">
        <v>8</v>
      </c>
      <c r="GD24" s="1164">
        <v>8</v>
      </c>
      <c r="GE24" s="1164">
        <v>8</v>
      </c>
      <c r="GF24" s="1164">
        <v>8</v>
      </c>
      <c r="GG24" s="1164">
        <v>8</v>
      </c>
      <c r="GH24" s="1164">
        <v>8</v>
      </c>
      <c r="GI24" s="1164">
        <v>8</v>
      </c>
      <c r="GJ24" s="1164">
        <v>8</v>
      </c>
      <c r="GK24" s="1164">
        <v>8</v>
      </c>
      <c r="GL24" s="1164">
        <v>8</v>
      </c>
      <c r="GM24" s="1164">
        <v>8</v>
      </c>
      <c r="GN24" s="1164">
        <v>8</v>
      </c>
      <c r="GO24" s="1164">
        <v>8</v>
      </c>
      <c r="GP24" s="1164">
        <v>8</v>
      </c>
      <c r="GQ24" s="1164">
        <v>8</v>
      </c>
      <c r="GR24" s="1164">
        <v>8</v>
      </c>
      <c r="GS24" s="1164">
        <v>8</v>
      </c>
      <c r="GT24" s="1164">
        <v>8</v>
      </c>
      <c r="GU24" s="1164">
        <v>8</v>
      </c>
      <c r="GV24" s="1164">
        <v>8</v>
      </c>
      <c r="GW24" s="1164">
        <v>8</v>
      </c>
      <c r="GX24" s="1164">
        <v>8</v>
      </c>
      <c r="GY24" s="1164">
        <v>8</v>
      </c>
      <c r="GZ24" s="1164">
        <v>8</v>
      </c>
      <c r="HA24" s="1164">
        <v>8</v>
      </c>
      <c r="HB24" s="1164">
        <v>8</v>
      </c>
      <c r="HC24" s="1164">
        <v>8</v>
      </c>
      <c r="HD24" s="1164">
        <v>8</v>
      </c>
      <c r="HE24" s="1164">
        <v>8</v>
      </c>
      <c r="HF24" s="1164">
        <v>8</v>
      </c>
      <c r="HG24" s="1164">
        <v>8</v>
      </c>
      <c r="HH24" s="1164">
        <v>8</v>
      </c>
      <c r="HI24" s="1164">
        <v>8</v>
      </c>
      <c r="HJ24" s="1164">
        <v>8</v>
      </c>
      <c r="HK24" s="1164">
        <v>8</v>
      </c>
      <c r="HL24" s="1164">
        <v>8</v>
      </c>
      <c r="HM24" s="1164">
        <v>8</v>
      </c>
      <c r="HN24" s="1164">
        <v>8</v>
      </c>
      <c r="HO24" s="1164">
        <v>8</v>
      </c>
      <c r="HP24" s="1164">
        <v>8</v>
      </c>
      <c r="HQ24" s="1164">
        <v>8</v>
      </c>
      <c r="HR24" s="1164">
        <v>8</v>
      </c>
      <c r="HS24" s="1164">
        <v>8</v>
      </c>
      <c r="HT24" s="1164">
        <v>8</v>
      </c>
      <c r="HU24" s="1164">
        <v>8</v>
      </c>
      <c r="HV24" s="1164">
        <v>8</v>
      </c>
      <c r="HW24" s="1164">
        <v>8</v>
      </c>
      <c r="HX24" s="1164">
        <v>8</v>
      </c>
      <c r="HY24" s="1164">
        <v>8</v>
      </c>
      <c r="HZ24" s="1164">
        <v>8</v>
      </c>
      <c r="IA24" s="1164">
        <v>8</v>
      </c>
      <c r="IB24" s="1164">
        <v>8</v>
      </c>
      <c r="IC24" s="1164">
        <v>8</v>
      </c>
      <c r="ID24" s="1164">
        <v>8</v>
      </c>
      <c r="IE24" s="1164">
        <v>8</v>
      </c>
      <c r="IF24" s="1164">
        <v>8</v>
      </c>
      <c r="IG24" s="1164">
        <v>8</v>
      </c>
      <c r="IH24" s="1164">
        <v>8</v>
      </c>
      <c r="II24" s="1164">
        <v>8</v>
      </c>
      <c r="IJ24" s="1164">
        <v>8</v>
      </c>
      <c r="IK24" s="1164">
        <v>8</v>
      </c>
      <c r="IL24" s="1164">
        <v>8</v>
      </c>
      <c r="IM24" s="1164">
        <v>8</v>
      </c>
      <c r="IN24" s="1164">
        <v>8</v>
      </c>
      <c r="IO24" s="1164">
        <v>8</v>
      </c>
      <c r="IP24" s="1164">
        <v>8</v>
      </c>
      <c r="IQ24" s="1164">
        <v>8</v>
      </c>
      <c r="IR24" s="1164">
        <v>8</v>
      </c>
      <c r="IS24" s="1164">
        <v>8</v>
      </c>
      <c r="IT24" s="1164">
        <v>8</v>
      </c>
      <c r="IU24" s="1164">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798316-3EA5-E386-F0EC-0.E76E523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48" width="3.00390625" customWidth="1"/>
    <col min="5" max="5" style="1644" width="6.00390625" customWidth="1"/>
    <col min="6" max="6" style="1644" width="27.00390625" customWidth="1"/>
    <col min="7" max="7" style="1644" width="16.00390625" customWidth="1"/>
    <col min="8" max="8" style="1644" width="12.00390625" customWidth="1"/>
    <col min="9" max="9" style="1644" width="32.00390625" customWidth="1"/>
    <col min="10" max="11" style="1644" width="41.00390625" customWidth="1"/>
    <col min="12" max="12" style="1644" width="89.00390625" customWidth="1"/>
    <col min="13" max="13" style="1633" width="3.00390625" customWidth="1"/>
    <col min="14" max="16" style="1633" width="8.00390625" customWidth="1"/>
    <col min="17" max="17" style="1633" width="25.00390625" customWidth="1"/>
    <col min="18" max="18" style="1633" width="14.00390625" customWidth="1"/>
    <col min="19" max="22" style="234" width="8.00390625" customWidth="1"/>
    <col min="23" max="256" style="1644" width="8.00390625" customWidth="1"/>
    <col min="257" max="257" style="1644" width="9.140625" hidden="1"/>
  </cols>
  <sheetData>
    <row customHeight="1" ht="22.5" hidden="1">
      <c r="IW1" s="1164" t="s">
        <v>14</v>
      </c>
    </row>
    <row s="1856" customFormat="1" customHeight="1" ht="22.5" hidden="1">
      <c r="A2" s="840"/>
      <c r="B2" s="1169">
        <v>1</v>
      </c>
      <c r="C2" s="1169"/>
      <c r="D2" s="1934" t="s">
        <v>104</v>
      </c>
      <c r="E2" s="1895"/>
      <c r="F2" s="1898" t="str">
        <f>IF(ROIV_INFO_NAME="","",ROIV_INFO_NAME)</f>
        <v>АО "ДГК"</v>
      </c>
      <c r="G2" s="1923" t="s">
        <v>22</v>
      </c>
      <c r="H2" s="1922"/>
      <c r="I2" s="1547"/>
      <c r="J2" s="827"/>
      <c r="K2" s="827"/>
      <c r="L2" s="237"/>
      <c r="M2" s="1544">
        <f>MERGEVALUE(F2)</f>
      </c>
      <c r="N2" s="520"/>
      <c r="O2" s="520"/>
      <c r="P2" s="509" t="str">
        <f t="array" ref="P2:P2">IF(ISERROR(MATCH(MID(Q2,1,250),MID(note_ter,1,250),0)),"n","y")</f>
        <v>n</v>
      </c>
      <c r="Q2" s="520"/>
      <c r="R2" s="509" t="str">
        <f>G2&amp;"("&amp;L2&amp;")"</f>
        <v>()</v>
      </c>
      <c r="S2" s="1169"/>
      <c r="T2" s="1169"/>
      <c r="U2" s="429"/>
      <c r="V2" s="1169"/>
      <c r="W2" s="1169"/>
      <c r="X2" s="1169"/>
      <c r="Y2" s="431"/>
      <c r="Z2" s="431"/>
      <c r="AA2" s="428"/>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c r="BF2" s="428"/>
      <c r="BG2" s="428"/>
      <c r="BH2" s="428"/>
      <c r="BI2" s="428"/>
      <c r="BJ2" s="428"/>
      <c r="BK2" s="428"/>
      <c r="BL2" s="428"/>
      <c r="BM2" s="428"/>
      <c r="BN2" s="428"/>
      <c r="BO2" s="428"/>
      <c r="BP2" s="428"/>
      <c r="BQ2" s="428"/>
      <c r="BR2" s="428"/>
      <c r="BS2" s="428"/>
      <c r="BT2" s="428"/>
      <c r="BU2" s="428"/>
      <c r="BV2" s="431"/>
      <c r="BW2" s="431"/>
      <c r="BX2" s="431"/>
      <c r="BY2" s="431"/>
      <c r="BZ2" s="431"/>
      <c r="CA2" s="431"/>
      <c r="CB2" s="431"/>
      <c r="CC2" s="431"/>
      <c r="CD2" s="431"/>
      <c r="CE2" s="431"/>
      <c r="IW2" s="432">
        <v>0</v>
      </c>
    </row>
    <row s="1651" customFormat="1" customHeight="1" ht="5.25" hidden="1">
      <c r="A3" s="505"/>
      <c r="D3" s="503"/>
      <c r="F3" s="256" t="s">
        <v>84</v>
      </c>
      <c r="G3" s="1743" t="s">
        <v>85</v>
      </c>
      <c r="H3" s="503"/>
      <c r="I3" s="503"/>
      <c r="J3" s="503"/>
      <c r="K3" s="503"/>
      <c r="L3" s="236" t="s">
        <v>86</v>
      </c>
      <c r="M3" s="256" t="s">
        <v>84</v>
      </c>
      <c r="N3" s="256"/>
      <c r="O3" s="256"/>
      <c r="P3" s="256"/>
      <c r="Q3" s="257"/>
      <c r="R3" s="256"/>
      <c r="S3" s="256"/>
      <c r="T3" s="256"/>
      <c r="U3" s="256"/>
      <c r="V3" s="25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520">
        <v>0</v>
      </c>
    </row>
    <row s="1827" customFormat="1" customHeight="1" ht="14.699999999999998">
      <c r="A4" s="1164"/>
      <c r="B4" s="1169"/>
      <c r="C4" s="1164"/>
      <c r="D4" s="1504"/>
      <c r="E4" s="518"/>
      <c r="F4" s="518"/>
      <c r="G4" s="518"/>
      <c r="H4" s="518"/>
      <c r="I4" s="518"/>
      <c r="J4" s="518"/>
      <c r="K4" s="518"/>
      <c r="L4" s="175"/>
      <c r="M4" s="256"/>
      <c r="N4" s="509"/>
      <c r="O4" s="509"/>
      <c r="P4" s="509"/>
      <c r="Q4" s="235"/>
      <c r="R4" s="509"/>
      <c r="S4" s="234"/>
      <c r="T4" s="234"/>
      <c r="U4" s="234"/>
      <c r="V4" s="234"/>
      <c r="IW4" s="516">
        <v>14</v>
      </c>
    </row>
    <row s="1827" customFormat="1" customHeight="1" ht="27.299999999999997">
      <c r="A5" s="1164"/>
      <c r="B5" s="1169"/>
      <c r="C5" s="1164"/>
      <c r="D5" s="1504"/>
      <c r="E5" s="21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8"/>
      <c r="G5" s="2128"/>
      <c r="H5" s="2128"/>
      <c r="I5" s="2128"/>
      <c r="J5" s="2128"/>
      <c r="K5" s="2128"/>
      <c r="L5" s="597"/>
      <c r="M5" s="256"/>
      <c r="N5" s="509"/>
      <c r="O5" s="509"/>
      <c r="P5" s="509"/>
      <c r="Q5" s="235"/>
      <c r="R5" s="509"/>
      <c r="S5" s="234"/>
      <c r="T5" s="234"/>
      <c r="U5" s="234"/>
      <c r="V5" s="234"/>
      <c r="IW5" s="516">
        <v>26</v>
      </c>
    </row>
    <row s="1827" customFormat="1" customHeight="1" ht="14.699999999999998">
      <c r="A6" s="1164"/>
      <c r="B6" s="1169"/>
      <c r="C6" s="1164"/>
      <c r="D6" s="1504"/>
      <c r="E6" s="518"/>
      <c r="F6" s="176"/>
      <c r="G6" s="176"/>
      <c r="H6" s="176"/>
      <c r="I6" s="176"/>
      <c r="J6" s="176"/>
      <c r="K6" s="176"/>
      <c r="L6" s="177"/>
      <c r="M6" s="509"/>
      <c r="N6" s="509"/>
      <c r="O6" s="509"/>
      <c r="P6" s="509"/>
      <c r="Q6" s="235"/>
      <c r="R6" s="509"/>
      <c r="S6" s="234"/>
      <c r="T6" s="234"/>
      <c r="U6" s="234"/>
      <c r="V6" s="234"/>
      <c r="IW6" s="516">
        <v>14</v>
      </c>
    </row>
    <row s="1827" customFormat="1" customHeight="1" ht="14.699999999999998">
      <c r="A7" s="1164"/>
      <c r="B7" s="1169"/>
      <c r="C7" s="1164"/>
      <c r="D7" s="1504"/>
      <c r="E7" s="2129" t="s">
        <v>315</v>
      </c>
      <c r="F7" s="2130"/>
      <c r="G7" s="2130"/>
      <c r="H7" s="2130"/>
      <c r="I7" s="2130"/>
      <c r="J7" s="2130"/>
      <c r="K7" s="2130"/>
      <c r="L7" s="2502" t="s">
        <v>316</v>
      </c>
      <c r="M7" s="509"/>
      <c r="N7" s="509"/>
      <c r="O7" s="509"/>
      <c r="P7" s="509"/>
      <c r="Q7" s="235"/>
      <c r="R7" s="509"/>
      <c r="S7" s="234"/>
      <c r="T7" s="234"/>
      <c r="U7" s="234"/>
      <c r="V7" s="234"/>
      <c r="IW7" s="516">
        <v>14</v>
      </c>
    </row>
    <row s="1827" customFormat="1" customHeight="1" ht="67.2">
      <c r="A8" s="1164"/>
      <c r="B8" s="1169"/>
      <c r="C8" s="1164"/>
      <c r="D8" s="1504"/>
      <c r="E8" s="2506" t="s">
        <v>89</v>
      </c>
      <c r="F8" s="250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50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509"/>
      <c r="I8" s="2510"/>
      <c r="J8" s="250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5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4"/>
      <c r="M8" s="509"/>
      <c r="N8" s="509"/>
      <c r="O8" s="509"/>
      <c r="P8" s="509"/>
      <c r="Q8" s="235"/>
      <c r="R8" s="509"/>
      <c r="S8" s="234"/>
      <c r="T8" s="234"/>
      <c r="U8" s="234"/>
      <c r="V8" s="234"/>
      <c r="IW8" s="516">
        <v>64</v>
      </c>
    </row>
    <row s="1827" customFormat="1" customHeight="1" ht="29.25">
      <c r="A9" s="1164"/>
      <c r="B9" s="1169"/>
      <c r="C9" s="1164"/>
      <c r="D9" s="1504"/>
      <c r="E9" s="2507"/>
      <c r="F9" s="2507"/>
      <c r="G9" s="1546" t="s">
        <v>2111</v>
      </c>
      <c r="H9" s="1546" t="s">
        <v>2112</v>
      </c>
      <c r="I9" s="1546" t="s">
        <v>2113</v>
      </c>
      <c r="J9" s="2507"/>
      <c r="K9" s="2507"/>
      <c r="L9" s="2503"/>
      <c r="M9" s="509"/>
      <c r="N9" s="509"/>
      <c r="O9" s="509"/>
      <c r="P9" s="509"/>
      <c r="Q9" s="235"/>
      <c r="R9" s="509"/>
      <c r="S9" s="234"/>
      <c r="T9" s="234"/>
      <c r="U9" s="234"/>
      <c r="V9" s="234"/>
      <c r="IW9" s="516">
        <v>28</v>
      </c>
    </row>
    <row s="1856" customFormat="1" customHeight="1" ht="23.25">
      <c r="A10" s="2127"/>
      <c r="B10" s="1169">
        <v>1</v>
      </c>
      <c r="C10" s="1169"/>
      <c r="D10" s="809"/>
      <c r="E10" s="807">
        <v>1</v>
      </c>
      <c r="F10" s="1548" t="str">
        <f>IF(ROIV_INFO_NAME="","",ROIV_INFO_NAME)</f>
        <v>АО "ДГК"</v>
      </c>
      <c r="G10" s="1740" t="s">
        <v>22</v>
      </c>
      <c r="H10" s="1922"/>
      <c r="I10" s="1543"/>
      <c r="J10" s="827"/>
      <c r="K10" s="827"/>
      <c r="L10" s="24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4">
        <f>MERGEVALUE(F10)</f>
      </c>
      <c r="N10" s="520"/>
      <c r="O10" s="520"/>
      <c r="P10" s="509" t="str">
        <f t="array" ref="P10:P10">IF(ISERROR(MATCH(MID(Q10,1,250),MID(note_ter,1,250),0)),"n","y")</f>
        <v>n</v>
      </c>
      <c r="Q10" s="520"/>
      <c r="R10" s="50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169"/>
      <c r="T10" s="1169"/>
      <c r="U10" s="429"/>
      <c r="V10" s="1169"/>
      <c r="W10" s="1169"/>
      <c r="X10" s="1169"/>
      <c r="Y10" s="431"/>
      <c r="Z10" s="431"/>
      <c r="AA10" s="428"/>
      <c r="AB10" s="428"/>
      <c r="AC10" s="428"/>
      <c r="AD10" s="428"/>
      <c r="AE10" s="428"/>
      <c r="AF10" s="428"/>
      <c r="AG10" s="428"/>
      <c r="AH10" s="428"/>
      <c r="AI10" s="428"/>
      <c r="AJ10" s="428"/>
      <c r="AK10" s="428"/>
      <c r="AL10" s="428"/>
      <c r="AM10" s="428"/>
      <c r="AN10" s="428"/>
      <c r="AO10" s="428"/>
      <c r="AP10" s="428"/>
      <c r="AQ10" s="428"/>
      <c r="AR10" s="428"/>
      <c r="AS10" s="428"/>
      <c r="AT10" s="428"/>
      <c r="AU10" s="428"/>
      <c r="AV10" s="428"/>
      <c r="AW10" s="428"/>
      <c r="AX10" s="428"/>
      <c r="AY10" s="428"/>
      <c r="AZ10" s="428"/>
      <c r="BA10" s="428"/>
      <c r="BB10" s="428"/>
      <c r="BC10" s="428"/>
      <c r="BD10" s="428"/>
      <c r="BE10" s="428"/>
      <c r="BF10" s="428"/>
      <c r="BG10" s="428"/>
      <c r="BH10" s="428"/>
      <c r="BI10" s="428"/>
      <c r="BJ10" s="428"/>
      <c r="BK10" s="428"/>
      <c r="BL10" s="428"/>
      <c r="BM10" s="428"/>
      <c r="BN10" s="428"/>
      <c r="BO10" s="428"/>
      <c r="BP10" s="428"/>
      <c r="BQ10" s="428"/>
      <c r="BR10" s="428"/>
      <c r="BS10" s="428"/>
      <c r="BT10" s="428"/>
      <c r="BU10" s="428"/>
      <c r="BV10" s="431"/>
      <c r="BW10" s="431"/>
      <c r="BX10" s="431"/>
      <c r="BY10" s="431"/>
      <c r="BZ10" s="431"/>
      <c r="CA10" s="431"/>
      <c r="CB10" s="431"/>
      <c r="CC10" s="431"/>
      <c r="CD10" s="431"/>
      <c r="CE10" s="431"/>
      <c r="IW10" s="432">
        <v>22</v>
      </c>
    </row>
    <row s="1856" customFormat="1" customHeight="1" ht="15.75">
      <c r="A11" s="2127"/>
      <c r="B11" s="1169"/>
      <c r="C11" s="421"/>
      <c r="D11" s="810"/>
      <c r="E11" s="430"/>
      <c r="F11" s="425" t="s">
        <v>2114</v>
      </c>
      <c r="G11" s="196"/>
      <c r="H11" s="196"/>
      <c r="I11" s="196"/>
      <c r="J11" s="196"/>
      <c r="K11" s="433"/>
      <c r="L11" s="2505"/>
      <c r="M11" s="1545"/>
      <c r="N11" s="520"/>
      <c r="O11" s="520"/>
      <c r="P11" s="520"/>
      <c r="Q11" s="509"/>
      <c r="R11" s="520"/>
      <c r="S11" s="1169"/>
      <c r="T11" s="1169"/>
      <c r="U11" s="429"/>
      <c r="V11" s="1169"/>
      <c r="W11" s="1169"/>
      <c r="X11" s="1169"/>
      <c r="Y11" s="431"/>
      <c r="Z11" s="431"/>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31"/>
      <c r="BW11" s="431"/>
      <c r="BX11" s="431"/>
      <c r="BY11" s="431"/>
      <c r="BZ11" s="431"/>
      <c r="CA11" s="431"/>
      <c r="CB11" s="431"/>
      <c r="CC11" s="431"/>
      <c r="CD11" s="431"/>
      <c r="CE11" s="431"/>
      <c r="IW11" s="432">
        <v>15</v>
      </c>
    </row>
    <row s="1827" customFormat="1" customHeight="1" ht="22.049999999999997">
      <c r="A12" s="1164"/>
      <c r="B12" s="1169"/>
      <c r="C12" s="1164"/>
      <c r="D12" s="460"/>
      <c r="E12" s="189"/>
      <c r="F12" s="189"/>
      <c r="G12" s="189"/>
      <c r="H12" s="189"/>
      <c r="I12" s="189"/>
      <c r="J12" s="189"/>
      <c r="K12" s="189"/>
      <c r="L12" s="189"/>
      <c r="M12" s="509"/>
      <c r="N12" s="509"/>
      <c r="O12" s="509"/>
      <c r="P12" s="509"/>
      <c r="Q12" s="235"/>
      <c r="R12" s="509"/>
      <c r="S12" s="234"/>
      <c r="T12" s="234"/>
      <c r="U12" s="234"/>
      <c r="V12" s="234"/>
      <c r="IW12" s="516">
        <v>21</v>
      </c>
    </row>
    <row s="1827" customFormat="1" customHeight="1" ht="14.699999999999998">
      <c r="A13" s="1164"/>
      <c r="B13" s="1169"/>
      <c r="C13" s="1164"/>
      <c r="D13" s="460"/>
      <c r="E13" s="1164"/>
      <c r="F13" s="1164"/>
      <c r="G13" s="1164"/>
      <c r="H13" s="1164"/>
      <c r="I13" s="1164"/>
      <c r="J13" s="1164"/>
      <c r="K13" s="1164"/>
      <c r="L13" s="1164"/>
      <c r="M13" s="509"/>
      <c r="N13" s="509"/>
      <c r="O13" s="509"/>
      <c r="P13" s="509"/>
      <c r="Q13" s="235"/>
      <c r="R13" s="509"/>
      <c r="S13" s="234"/>
      <c r="T13" s="234"/>
      <c r="U13" s="234"/>
      <c r="V13" s="234"/>
      <c r="IW13" s="516">
        <v>14</v>
      </c>
    </row>
    <row s="1827" customFormat="1" customHeight="1" ht="1.05">
      <c r="A14" s="1164"/>
      <c r="B14" s="1169"/>
      <c r="C14" s="1164"/>
      <c r="D14" s="460"/>
      <c r="E14" s="1164"/>
      <c r="F14" s="1164"/>
      <c r="G14" s="1164"/>
      <c r="H14" s="1164"/>
      <c r="I14" s="1164"/>
      <c r="J14" s="1164"/>
      <c r="K14" s="1164"/>
      <c r="L14" s="1164"/>
      <c r="M14" s="509"/>
      <c r="N14" s="509"/>
      <c r="O14" s="509"/>
      <c r="P14" s="509"/>
      <c r="Q14" s="235"/>
      <c r="R14" s="509"/>
      <c r="S14" s="234"/>
      <c r="T14" s="234"/>
      <c r="U14" s="234"/>
      <c r="V14" s="234"/>
      <c r="IW14" s="516">
        <v>1</v>
      </c>
    </row>
    <row customHeight="1" ht="22.5" hidden="1">
      <c r="A15" s="1164" t="s">
        <v>83</v>
      </c>
      <c r="B15" s="1169">
        <v>0</v>
      </c>
      <c r="C15" s="1164">
        <v>0</v>
      </c>
      <c r="D15" s="460">
        <v>3</v>
      </c>
      <c r="E15" s="1164">
        <v>6</v>
      </c>
      <c r="F15" s="1164">
        <v>27</v>
      </c>
      <c r="G15" s="1164">
        <v>16</v>
      </c>
      <c r="H15" s="1164">
        <v>12</v>
      </c>
      <c r="I15" s="1164">
        <v>32</v>
      </c>
      <c r="J15" s="1164">
        <v>41</v>
      </c>
      <c r="K15" s="1164">
        <v>41</v>
      </c>
      <c r="L15" s="1164">
        <v>89</v>
      </c>
      <c r="M15" s="509">
        <v>3</v>
      </c>
      <c r="N15" s="509">
        <v>8</v>
      </c>
      <c r="O15" s="509">
        <v>8</v>
      </c>
      <c r="P15" s="509">
        <v>8</v>
      </c>
      <c r="Q15" s="235">
        <v>25</v>
      </c>
      <c r="R15" s="509">
        <v>14</v>
      </c>
      <c r="S15" s="234">
        <v>8</v>
      </c>
      <c r="T15" s="234">
        <v>8</v>
      </c>
      <c r="U15" s="234">
        <v>8</v>
      </c>
      <c r="V15" s="234">
        <v>8</v>
      </c>
      <c r="W15" s="1164">
        <v>8</v>
      </c>
      <c r="X15" s="1164">
        <v>8</v>
      </c>
      <c r="Y15" s="1164">
        <v>8</v>
      </c>
      <c r="Z15" s="1164">
        <v>8</v>
      </c>
      <c r="AA15" s="1164">
        <v>8</v>
      </c>
      <c r="AB15" s="1164">
        <v>8</v>
      </c>
      <c r="AC15" s="1164">
        <v>8</v>
      </c>
      <c r="AD15" s="1164">
        <v>8</v>
      </c>
      <c r="AE15" s="1164">
        <v>8</v>
      </c>
      <c r="AF15" s="1164">
        <v>8</v>
      </c>
      <c r="AG15" s="1164">
        <v>8</v>
      </c>
      <c r="AH15" s="1164">
        <v>8</v>
      </c>
      <c r="AI15" s="1164">
        <v>8</v>
      </c>
      <c r="AJ15" s="1164">
        <v>8</v>
      </c>
      <c r="AK15" s="1164">
        <v>8</v>
      </c>
      <c r="AL15" s="1164">
        <v>8</v>
      </c>
      <c r="AM15" s="1164">
        <v>8</v>
      </c>
      <c r="AN15" s="1164">
        <v>8</v>
      </c>
      <c r="AO15" s="1164">
        <v>8</v>
      </c>
      <c r="AP15" s="1164">
        <v>8</v>
      </c>
      <c r="AQ15" s="1164">
        <v>8</v>
      </c>
      <c r="AR15" s="1164">
        <v>8</v>
      </c>
      <c r="AS15" s="1164">
        <v>8</v>
      </c>
      <c r="AT15" s="1164">
        <v>8</v>
      </c>
      <c r="AU15" s="1164">
        <v>8</v>
      </c>
      <c r="AV15" s="1164">
        <v>8</v>
      </c>
      <c r="AW15" s="1164">
        <v>8</v>
      </c>
      <c r="AX15" s="1164">
        <v>8</v>
      </c>
      <c r="AY15" s="1164">
        <v>8</v>
      </c>
      <c r="AZ15" s="1164">
        <v>8</v>
      </c>
      <c r="BA15" s="1164">
        <v>8</v>
      </c>
      <c r="BB15" s="1164">
        <v>8</v>
      </c>
      <c r="BC15" s="1164">
        <v>8</v>
      </c>
      <c r="BD15" s="1164">
        <v>8</v>
      </c>
      <c r="BE15" s="1164">
        <v>8</v>
      </c>
      <c r="BF15" s="1164">
        <v>8</v>
      </c>
      <c r="BG15" s="1164">
        <v>8</v>
      </c>
      <c r="BH15" s="1164">
        <v>8</v>
      </c>
      <c r="BI15" s="1164">
        <v>8</v>
      </c>
      <c r="BJ15" s="1164">
        <v>8</v>
      </c>
      <c r="BK15" s="1164">
        <v>8</v>
      </c>
      <c r="BL15" s="1164">
        <v>8</v>
      </c>
      <c r="BM15" s="1164">
        <v>8</v>
      </c>
      <c r="BN15" s="1164">
        <v>8</v>
      </c>
      <c r="BO15" s="1164">
        <v>8</v>
      </c>
      <c r="BP15" s="1164">
        <v>8</v>
      </c>
      <c r="BQ15" s="1164">
        <v>8</v>
      </c>
      <c r="BR15" s="1164">
        <v>8</v>
      </c>
      <c r="BS15" s="1164">
        <v>8</v>
      </c>
      <c r="BT15" s="1164">
        <v>8</v>
      </c>
      <c r="BU15" s="1164">
        <v>8</v>
      </c>
      <c r="BV15" s="1164">
        <v>8</v>
      </c>
      <c r="BW15" s="1164">
        <v>8</v>
      </c>
      <c r="BX15" s="1164">
        <v>8</v>
      </c>
      <c r="BY15" s="1164">
        <v>8</v>
      </c>
      <c r="BZ15" s="1164">
        <v>8</v>
      </c>
      <c r="CA15" s="1164">
        <v>8</v>
      </c>
      <c r="CB15" s="1164">
        <v>8</v>
      </c>
      <c r="CC15" s="1164">
        <v>8</v>
      </c>
      <c r="CD15" s="1164">
        <v>8</v>
      </c>
      <c r="CE15" s="1164">
        <v>8</v>
      </c>
      <c r="CF15" s="1164">
        <v>8</v>
      </c>
      <c r="CG15" s="1164">
        <v>8</v>
      </c>
      <c r="CH15" s="1164">
        <v>8</v>
      </c>
      <c r="CI15" s="1164">
        <v>8</v>
      </c>
      <c r="CJ15" s="1164">
        <v>8</v>
      </c>
      <c r="CK15" s="1164">
        <v>8</v>
      </c>
      <c r="CL15" s="1164">
        <v>8</v>
      </c>
      <c r="CM15" s="1164">
        <v>8</v>
      </c>
      <c r="CN15" s="1164">
        <v>8</v>
      </c>
      <c r="CO15" s="1164">
        <v>8</v>
      </c>
      <c r="CP15" s="1164">
        <v>8</v>
      </c>
      <c r="CQ15" s="1164">
        <v>8</v>
      </c>
      <c r="CR15" s="1164">
        <v>8</v>
      </c>
      <c r="CS15" s="1164">
        <v>8</v>
      </c>
      <c r="CT15" s="1164">
        <v>8</v>
      </c>
      <c r="CU15" s="1164">
        <v>8</v>
      </c>
      <c r="CV15" s="1164">
        <v>8</v>
      </c>
      <c r="CW15" s="1164">
        <v>8</v>
      </c>
      <c r="CX15" s="1164">
        <v>8</v>
      </c>
      <c r="CY15" s="1164">
        <v>8</v>
      </c>
      <c r="CZ15" s="1164">
        <v>8</v>
      </c>
      <c r="DA15" s="1164">
        <v>8</v>
      </c>
      <c r="DB15" s="1164">
        <v>8</v>
      </c>
      <c r="DC15" s="1164">
        <v>8</v>
      </c>
      <c r="DD15" s="1164">
        <v>8</v>
      </c>
      <c r="DE15" s="1164">
        <v>8</v>
      </c>
      <c r="DF15" s="1164">
        <v>8</v>
      </c>
      <c r="DG15" s="1164">
        <v>8</v>
      </c>
      <c r="DH15" s="1164">
        <v>8</v>
      </c>
      <c r="DI15" s="1164">
        <v>8</v>
      </c>
      <c r="DJ15" s="1164">
        <v>8</v>
      </c>
      <c r="DK15" s="1164">
        <v>8</v>
      </c>
      <c r="DL15" s="1164">
        <v>8</v>
      </c>
      <c r="DM15" s="1164">
        <v>8</v>
      </c>
      <c r="DN15" s="1164">
        <v>8</v>
      </c>
      <c r="DO15" s="1164">
        <v>8</v>
      </c>
      <c r="DP15" s="1164">
        <v>8</v>
      </c>
      <c r="DQ15" s="1164">
        <v>8</v>
      </c>
      <c r="DR15" s="1164">
        <v>8</v>
      </c>
      <c r="DS15" s="1164">
        <v>8</v>
      </c>
      <c r="DT15" s="1164">
        <v>8</v>
      </c>
      <c r="DU15" s="1164">
        <v>8</v>
      </c>
      <c r="DV15" s="1164">
        <v>8</v>
      </c>
      <c r="DW15" s="1164">
        <v>8</v>
      </c>
      <c r="DX15" s="1164">
        <v>8</v>
      </c>
      <c r="DY15" s="1164">
        <v>8</v>
      </c>
      <c r="DZ15" s="1164">
        <v>8</v>
      </c>
      <c r="EA15" s="1164">
        <v>8</v>
      </c>
      <c r="EB15" s="1164">
        <v>8</v>
      </c>
      <c r="EC15" s="1164">
        <v>8</v>
      </c>
      <c r="ED15" s="1164">
        <v>8</v>
      </c>
      <c r="EE15" s="1164">
        <v>8</v>
      </c>
      <c r="EF15" s="1164">
        <v>8</v>
      </c>
      <c r="EG15" s="1164">
        <v>8</v>
      </c>
      <c r="EH15" s="1164">
        <v>8</v>
      </c>
      <c r="EI15" s="1164">
        <v>8</v>
      </c>
      <c r="EJ15" s="1164">
        <v>8</v>
      </c>
      <c r="EK15" s="1164">
        <v>8</v>
      </c>
      <c r="EL15" s="1164">
        <v>8</v>
      </c>
      <c r="EM15" s="1164">
        <v>8</v>
      </c>
      <c r="EN15" s="1164">
        <v>8</v>
      </c>
      <c r="EO15" s="1164">
        <v>8</v>
      </c>
      <c r="EP15" s="1164">
        <v>8</v>
      </c>
      <c r="EQ15" s="1164">
        <v>8</v>
      </c>
      <c r="ER15" s="1164">
        <v>8</v>
      </c>
      <c r="ES15" s="1164">
        <v>8</v>
      </c>
      <c r="ET15" s="1164">
        <v>8</v>
      </c>
      <c r="EU15" s="1164">
        <v>8</v>
      </c>
      <c r="EV15" s="1164">
        <v>8</v>
      </c>
      <c r="EW15" s="1164">
        <v>8</v>
      </c>
      <c r="EX15" s="1164">
        <v>8</v>
      </c>
      <c r="EY15" s="1164">
        <v>8</v>
      </c>
      <c r="EZ15" s="1164">
        <v>8</v>
      </c>
      <c r="FA15" s="1164">
        <v>8</v>
      </c>
      <c r="FB15" s="1164">
        <v>8</v>
      </c>
      <c r="FC15" s="1164">
        <v>8</v>
      </c>
      <c r="FD15" s="1164">
        <v>8</v>
      </c>
      <c r="FE15" s="1164">
        <v>8</v>
      </c>
      <c r="FF15" s="1164">
        <v>8</v>
      </c>
      <c r="FG15" s="1164">
        <v>8</v>
      </c>
      <c r="FH15" s="1164">
        <v>8</v>
      </c>
      <c r="FI15" s="1164">
        <v>8</v>
      </c>
      <c r="FJ15" s="1164">
        <v>8</v>
      </c>
      <c r="FK15" s="1164">
        <v>8</v>
      </c>
      <c r="FL15" s="1164">
        <v>8</v>
      </c>
      <c r="FM15" s="1164">
        <v>8</v>
      </c>
      <c r="FN15" s="1164">
        <v>8</v>
      </c>
      <c r="FO15" s="1164">
        <v>8</v>
      </c>
      <c r="FP15" s="1164">
        <v>8</v>
      </c>
      <c r="FQ15" s="1164">
        <v>8</v>
      </c>
      <c r="FR15" s="1164">
        <v>8</v>
      </c>
      <c r="FS15" s="1164">
        <v>8</v>
      </c>
      <c r="FT15" s="1164">
        <v>8</v>
      </c>
      <c r="FU15" s="1164">
        <v>8</v>
      </c>
      <c r="FV15" s="1164">
        <v>8</v>
      </c>
      <c r="FW15" s="1164">
        <v>8</v>
      </c>
      <c r="FX15" s="1164">
        <v>8</v>
      </c>
      <c r="FY15" s="1164">
        <v>8</v>
      </c>
      <c r="FZ15" s="1164">
        <v>8</v>
      </c>
      <c r="GA15" s="1164">
        <v>8</v>
      </c>
      <c r="GB15" s="1164">
        <v>8</v>
      </c>
      <c r="GC15" s="1164">
        <v>8</v>
      </c>
      <c r="GD15" s="1164">
        <v>8</v>
      </c>
      <c r="GE15" s="1164">
        <v>8</v>
      </c>
      <c r="GF15" s="1164">
        <v>8</v>
      </c>
      <c r="GG15" s="1164">
        <v>8</v>
      </c>
      <c r="GH15" s="1164">
        <v>8</v>
      </c>
      <c r="GI15" s="1164">
        <v>8</v>
      </c>
      <c r="GJ15" s="1164">
        <v>8</v>
      </c>
      <c r="GK15" s="1164">
        <v>8</v>
      </c>
      <c r="GL15" s="1164">
        <v>8</v>
      </c>
      <c r="GM15" s="1164">
        <v>8</v>
      </c>
      <c r="GN15" s="1164">
        <v>8</v>
      </c>
      <c r="GO15" s="1164">
        <v>8</v>
      </c>
      <c r="GP15" s="1164">
        <v>8</v>
      </c>
      <c r="GQ15" s="1164">
        <v>8</v>
      </c>
      <c r="GR15" s="1164">
        <v>8</v>
      </c>
      <c r="GS15" s="1164">
        <v>8</v>
      </c>
      <c r="GT15" s="1164">
        <v>8</v>
      </c>
      <c r="GU15" s="1164">
        <v>8</v>
      </c>
      <c r="GV15" s="1164">
        <v>8</v>
      </c>
      <c r="GW15" s="1164">
        <v>8</v>
      </c>
      <c r="GX15" s="1164">
        <v>8</v>
      </c>
      <c r="GY15" s="1164">
        <v>8</v>
      </c>
      <c r="GZ15" s="1164">
        <v>8</v>
      </c>
      <c r="HA15" s="1164">
        <v>8</v>
      </c>
      <c r="HB15" s="1164">
        <v>8</v>
      </c>
      <c r="HC15" s="1164">
        <v>8</v>
      </c>
      <c r="HD15" s="1164">
        <v>8</v>
      </c>
      <c r="HE15" s="1164">
        <v>8</v>
      </c>
      <c r="HF15" s="1164">
        <v>8</v>
      </c>
      <c r="HG15" s="1164">
        <v>8</v>
      </c>
      <c r="HH15" s="1164">
        <v>8</v>
      </c>
      <c r="HI15" s="1164">
        <v>8</v>
      </c>
      <c r="HJ15" s="1164">
        <v>8</v>
      </c>
      <c r="HK15" s="1164">
        <v>8</v>
      </c>
      <c r="HL15" s="1164">
        <v>8</v>
      </c>
      <c r="HM15" s="1164">
        <v>8</v>
      </c>
      <c r="HN15" s="1164">
        <v>8</v>
      </c>
      <c r="HO15" s="1164">
        <v>8</v>
      </c>
      <c r="HP15" s="1164">
        <v>8</v>
      </c>
      <c r="HQ15" s="1164">
        <v>8</v>
      </c>
      <c r="HR15" s="1164">
        <v>8</v>
      </c>
      <c r="HS15" s="1164">
        <v>8</v>
      </c>
      <c r="HT15" s="1164">
        <v>8</v>
      </c>
      <c r="HU15" s="1164">
        <v>8</v>
      </c>
      <c r="HV15" s="1164">
        <v>8</v>
      </c>
      <c r="HW15" s="1164">
        <v>8</v>
      </c>
      <c r="HX15" s="1164">
        <v>8</v>
      </c>
      <c r="HY15" s="1164">
        <v>8</v>
      </c>
      <c r="HZ15" s="1164">
        <v>8</v>
      </c>
      <c r="IA15" s="1164">
        <v>8</v>
      </c>
      <c r="IB15" s="1164">
        <v>8</v>
      </c>
      <c r="IC15" s="1164">
        <v>8</v>
      </c>
      <c r="ID15" s="1164">
        <v>8</v>
      </c>
      <c r="IE15" s="1164">
        <v>8</v>
      </c>
      <c r="IF15" s="1164">
        <v>8</v>
      </c>
      <c r="IG15" s="1164">
        <v>8</v>
      </c>
      <c r="IH15" s="1164">
        <v>8</v>
      </c>
      <c r="II15" s="1164">
        <v>8</v>
      </c>
      <c r="IJ15" s="1164">
        <v>8</v>
      </c>
      <c r="IK15" s="1164">
        <v>8</v>
      </c>
      <c r="IL15" s="1164">
        <v>8</v>
      </c>
      <c r="IM15" s="1164">
        <v>8</v>
      </c>
      <c r="IN15" s="1164">
        <v>8</v>
      </c>
      <c r="IO15" s="1164">
        <v>8</v>
      </c>
      <c r="IP15" s="1164">
        <v>8</v>
      </c>
      <c r="IQ15" s="1164">
        <v>8</v>
      </c>
      <c r="IR15" s="1164">
        <v>8</v>
      </c>
      <c r="IS15" s="1164">
        <v>8</v>
      </c>
      <c r="IT15" s="1164">
        <v>8</v>
      </c>
      <c r="IU15" s="1164">
        <v>8</v>
      </c>
      <c r="IV15" s="1164">
        <v>8</v>
      </c>
      <c r="IW15" s="1164">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E76F6F-8646-026A-E38F-0.B0EDC19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48" width="3.00390625" customWidth="1"/>
    <col min="5" max="5" style="1644" width="6.00390625" customWidth="1"/>
    <col min="6" max="6" style="1644" width="27.00390625" customWidth="1"/>
    <col min="7" max="7" style="1644" width="16.00390625" customWidth="1"/>
    <col min="8" max="8" style="1644" width="12.00390625" customWidth="1"/>
    <col min="9" max="9" style="1644" width="32.00390625" customWidth="1"/>
    <col min="10" max="11" style="1644" width="41.00390625" customWidth="1"/>
    <col min="12" max="12" style="1644" width="89.00390625" customWidth="1"/>
    <col min="13" max="13" style="1633" width="3.00390625" customWidth="1"/>
    <col min="14" max="16" style="1633" width="8.00390625" customWidth="1"/>
    <col min="17" max="17" style="1633" width="25.00390625" customWidth="1"/>
    <col min="18" max="18" style="1633" width="14.00390625" customWidth="1"/>
    <col min="19" max="22" style="234" width="8.00390625" customWidth="1"/>
    <col min="23" max="256" style="1644" width="8.00390625" customWidth="1"/>
    <col min="257" max="257" style="1644" width="9.140625" hidden="1"/>
  </cols>
  <sheetData>
    <row customHeight="1" ht="22.5" hidden="1">
      <c r="IW1" s="1640" t="s">
        <v>14</v>
      </c>
    </row>
    <row s="1856" customFormat="1" customHeight="1" ht="22.5" hidden="1">
      <c r="A2" s="840"/>
      <c r="B2" s="1375">
        <v>1</v>
      </c>
      <c r="C2" s="1375"/>
      <c r="D2" s="1934" t="s">
        <v>104</v>
      </c>
      <c r="E2" s="1910"/>
      <c r="F2" s="1912" t="str">
        <f>IF(ROIV_INFO_NAME="","",ROIV_INFO_NAME)</f>
        <v>АО "ДГК"</v>
      </c>
      <c r="G2" s="1740" t="s">
        <v>22</v>
      </c>
      <c r="H2" s="1922"/>
      <c r="I2" s="1547"/>
      <c r="J2" s="827"/>
      <c r="K2" s="827"/>
      <c r="L2" s="237"/>
      <c r="M2" s="1544">
        <f>MERGEVALUE(F2)</f>
      </c>
      <c r="N2" s="1645"/>
      <c r="O2" s="1645"/>
      <c r="P2" s="1633" t="str">
        <f t="array" ref="P2:P2">IF(ISERROR(MATCH(MID(Q2,1,250),MID(note_ter,1,250),0)),"n","y")</f>
        <v>n</v>
      </c>
      <c r="Q2" s="1645"/>
      <c r="R2" s="1633" t="str">
        <f>G2&amp;"("&amp;L2&amp;")"</f>
        <v>()</v>
      </c>
      <c r="S2" s="1375"/>
      <c r="T2" s="1375"/>
      <c r="U2" s="429"/>
      <c r="V2" s="1375"/>
      <c r="W2" s="1375"/>
      <c r="X2" s="1375"/>
      <c r="Y2" s="842"/>
      <c r="Z2" s="842"/>
      <c r="AA2" s="636"/>
      <c r="AB2" s="636"/>
      <c r="AC2" s="636"/>
      <c r="AD2" s="636"/>
      <c r="AE2" s="636"/>
      <c r="AF2" s="636"/>
      <c r="AG2" s="636"/>
      <c r="AH2" s="636"/>
      <c r="AI2" s="636"/>
      <c r="AJ2" s="636"/>
      <c r="AK2" s="636"/>
      <c r="AL2" s="636"/>
      <c r="AM2" s="636"/>
      <c r="AN2" s="636"/>
      <c r="AO2" s="636"/>
      <c r="AP2" s="636"/>
      <c r="AQ2" s="636"/>
      <c r="AR2" s="636"/>
      <c r="AS2" s="636"/>
      <c r="AT2" s="636"/>
      <c r="AU2" s="636"/>
      <c r="AV2" s="636"/>
      <c r="AW2" s="636"/>
      <c r="AX2" s="636"/>
      <c r="AY2" s="636"/>
      <c r="AZ2" s="636"/>
      <c r="BA2" s="636"/>
      <c r="BB2" s="636"/>
      <c r="BC2" s="636"/>
      <c r="BD2" s="636"/>
      <c r="BE2" s="636"/>
      <c r="BF2" s="636"/>
      <c r="BG2" s="636"/>
      <c r="BH2" s="636"/>
      <c r="BI2" s="636"/>
      <c r="BJ2" s="636"/>
      <c r="BK2" s="636"/>
      <c r="BL2" s="636"/>
      <c r="BM2" s="636"/>
      <c r="BN2" s="636"/>
      <c r="BO2" s="636"/>
      <c r="BP2" s="636"/>
      <c r="BQ2" s="636"/>
      <c r="BR2" s="636"/>
      <c r="BS2" s="636"/>
      <c r="BT2" s="636"/>
      <c r="BU2" s="636"/>
      <c r="BV2" s="842"/>
      <c r="BW2" s="842"/>
      <c r="BX2" s="842"/>
      <c r="BY2" s="842"/>
      <c r="BZ2" s="842"/>
      <c r="CA2" s="842"/>
      <c r="CB2" s="842"/>
      <c r="CC2" s="842"/>
      <c r="CD2" s="842"/>
      <c r="CE2" s="842"/>
      <c r="IW2" s="633">
        <v>0</v>
      </c>
    </row>
    <row s="1651" customFormat="1" customHeight="1" ht="5.25" hidden="1">
      <c r="A3" s="1650"/>
      <c r="D3" s="1899"/>
      <c r="F3" s="257" t="s">
        <v>84</v>
      </c>
      <c r="G3" s="1743" t="s">
        <v>85</v>
      </c>
      <c r="H3" s="1899"/>
      <c r="I3" s="1899"/>
      <c r="J3" s="1899"/>
      <c r="K3" s="1899"/>
      <c r="L3" s="236" t="s">
        <v>86</v>
      </c>
      <c r="M3" s="257" t="s">
        <v>84</v>
      </c>
      <c r="N3" s="257"/>
      <c r="O3" s="257"/>
      <c r="P3" s="257"/>
      <c r="Q3" s="257"/>
      <c r="R3" s="257"/>
      <c r="S3" s="257"/>
      <c r="T3" s="257"/>
      <c r="U3" s="257"/>
      <c r="V3" s="257"/>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6"/>
      <c r="BH3" s="236"/>
      <c r="BI3" s="236"/>
      <c r="BJ3" s="236"/>
      <c r="BK3" s="236"/>
      <c r="BL3" s="236"/>
      <c r="BM3" s="236"/>
      <c r="BN3" s="236"/>
      <c r="BO3" s="236"/>
      <c r="BP3" s="236"/>
      <c r="BQ3" s="236"/>
      <c r="BR3" s="236"/>
      <c r="BS3" s="236"/>
      <c r="BT3" s="236"/>
      <c r="BU3" s="236"/>
      <c r="BV3" s="236"/>
      <c r="BW3" s="236"/>
      <c r="BX3" s="236"/>
      <c r="BY3" s="236"/>
      <c r="BZ3" s="236"/>
      <c r="CA3" s="236"/>
      <c r="CB3" s="236"/>
      <c r="CC3" s="236"/>
      <c r="CD3" s="236"/>
      <c r="CE3" s="236"/>
      <c r="CF3" s="236"/>
      <c r="CG3" s="236"/>
      <c r="CH3" s="236"/>
      <c r="CI3" s="236"/>
      <c r="CJ3" s="236"/>
      <c r="CK3" s="236"/>
      <c r="CL3" s="236"/>
      <c r="CM3" s="236"/>
      <c r="CN3" s="236"/>
      <c r="CO3" s="236"/>
      <c r="CP3" s="236"/>
      <c r="CQ3" s="236"/>
      <c r="CR3" s="236"/>
      <c r="CS3" s="236"/>
      <c r="CT3" s="236"/>
      <c r="CU3" s="236"/>
      <c r="CV3" s="236"/>
      <c r="CW3" s="236"/>
      <c r="CX3" s="236"/>
      <c r="CY3" s="236"/>
      <c r="CZ3" s="236"/>
      <c r="DA3" s="236"/>
      <c r="DB3" s="236"/>
      <c r="DC3" s="236"/>
      <c r="DD3" s="236"/>
      <c r="DE3" s="236"/>
      <c r="DF3" s="236"/>
      <c r="DG3" s="236"/>
      <c r="DH3" s="236"/>
      <c r="DI3" s="236"/>
      <c r="DJ3" s="236"/>
      <c r="DK3" s="236"/>
      <c r="DL3" s="236"/>
      <c r="DM3" s="236"/>
      <c r="DN3" s="236"/>
      <c r="DO3" s="236"/>
      <c r="DP3" s="236"/>
      <c r="DQ3" s="236"/>
      <c r="DR3" s="236"/>
      <c r="DS3" s="236"/>
      <c r="DT3" s="236"/>
      <c r="DU3" s="236"/>
      <c r="DV3" s="236"/>
      <c r="DW3" s="236"/>
      <c r="DX3" s="236"/>
      <c r="DY3" s="236"/>
      <c r="DZ3" s="236"/>
      <c r="EA3" s="236"/>
      <c r="EB3" s="236"/>
      <c r="EC3" s="236"/>
      <c r="ED3" s="236"/>
      <c r="EE3" s="236"/>
      <c r="EF3" s="236"/>
      <c r="EG3" s="236"/>
      <c r="EH3" s="236"/>
      <c r="EI3" s="236"/>
      <c r="EJ3" s="236"/>
      <c r="EK3" s="236"/>
      <c r="EL3" s="236"/>
      <c r="EM3" s="236"/>
      <c r="EN3" s="236"/>
      <c r="EO3" s="236"/>
      <c r="EP3" s="236"/>
      <c r="EQ3" s="236"/>
      <c r="ER3" s="236"/>
      <c r="ES3" s="236"/>
      <c r="ET3" s="236"/>
      <c r="EU3" s="236"/>
      <c r="EV3" s="236"/>
      <c r="EW3" s="236"/>
      <c r="EX3" s="236"/>
      <c r="EY3" s="236"/>
      <c r="EZ3" s="236"/>
      <c r="FA3" s="236"/>
      <c r="FB3" s="236"/>
      <c r="FC3" s="236"/>
      <c r="FD3" s="236"/>
      <c r="FE3" s="236"/>
      <c r="FF3" s="236"/>
      <c r="FG3" s="236"/>
      <c r="FH3" s="236"/>
      <c r="FI3" s="236"/>
      <c r="FJ3" s="236"/>
      <c r="FK3" s="236"/>
      <c r="FL3" s="236"/>
      <c r="FM3" s="236"/>
      <c r="FN3" s="236"/>
      <c r="FO3" s="236"/>
      <c r="FP3" s="236"/>
      <c r="FQ3" s="236"/>
      <c r="FR3" s="236"/>
      <c r="FS3" s="236"/>
      <c r="FT3" s="236"/>
      <c r="FU3" s="236"/>
      <c r="FV3" s="236"/>
      <c r="FW3" s="236"/>
      <c r="FX3" s="236"/>
      <c r="FY3" s="236"/>
      <c r="FZ3" s="236"/>
      <c r="GA3" s="236"/>
      <c r="GB3" s="236"/>
      <c r="GC3" s="236"/>
      <c r="GD3" s="236"/>
      <c r="GE3" s="236"/>
      <c r="GF3" s="236"/>
      <c r="GG3" s="236"/>
      <c r="GH3" s="236"/>
      <c r="GI3" s="236"/>
      <c r="GJ3" s="236"/>
      <c r="GK3" s="236"/>
      <c r="GL3" s="236"/>
      <c r="GM3" s="236"/>
      <c r="GN3" s="236"/>
      <c r="GO3" s="236"/>
      <c r="GP3" s="236"/>
      <c r="GQ3" s="236"/>
      <c r="GR3" s="236"/>
      <c r="GS3" s="236"/>
      <c r="GT3" s="236"/>
      <c r="GU3" s="236"/>
      <c r="GV3" s="236"/>
      <c r="GW3" s="236"/>
      <c r="GX3" s="236"/>
      <c r="GY3" s="236"/>
      <c r="GZ3" s="236"/>
      <c r="HA3" s="236"/>
      <c r="HB3" s="236"/>
      <c r="HC3" s="236"/>
      <c r="HD3" s="236"/>
      <c r="HE3" s="236"/>
      <c r="HF3" s="236"/>
      <c r="HG3" s="236"/>
      <c r="HH3" s="236"/>
      <c r="HI3" s="236"/>
      <c r="HJ3" s="236"/>
      <c r="HK3" s="236"/>
      <c r="HL3" s="236"/>
      <c r="HM3" s="236"/>
      <c r="HN3" s="236"/>
      <c r="HO3" s="236"/>
      <c r="HP3" s="236"/>
      <c r="HQ3" s="236"/>
      <c r="HR3" s="236"/>
      <c r="HS3" s="236"/>
      <c r="HT3" s="236"/>
      <c r="HU3" s="236"/>
      <c r="HV3" s="236"/>
      <c r="HW3" s="236"/>
      <c r="HX3" s="236"/>
      <c r="HY3" s="236"/>
      <c r="HZ3" s="236"/>
      <c r="IA3" s="236"/>
      <c r="IB3" s="236"/>
      <c r="IC3" s="236"/>
      <c r="ID3" s="236"/>
      <c r="IE3" s="236"/>
      <c r="IF3" s="236"/>
      <c r="IG3" s="236"/>
      <c r="IH3" s="236"/>
      <c r="II3" s="236"/>
      <c r="IJ3" s="236"/>
      <c r="IK3" s="236"/>
      <c r="IL3" s="236"/>
      <c r="IM3" s="236"/>
      <c r="IN3" s="236"/>
      <c r="IO3" s="236"/>
      <c r="IP3" s="236"/>
      <c r="IQ3" s="236"/>
      <c r="IR3" s="236"/>
      <c r="IS3" s="236"/>
      <c r="IT3" s="236"/>
      <c r="IU3" s="236"/>
      <c r="IV3" s="236"/>
      <c r="IW3" s="1645">
        <v>0</v>
      </c>
    </row>
    <row s="1827" customFormat="1" customHeight="1" ht="14.699999999999998">
      <c r="A4" s="1640"/>
      <c r="B4" s="1375"/>
      <c r="C4" s="1640"/>
      <c r="D4" s="1524"/>
      <c r="E4" s="1644"/>
      <c r="F4" s="1644"/>
      <c r="G4" s="1644"/>
      <c r="H4" s="1644"/>
      <c r="I4" s="1644"/>
      <c r="J4" s="1644"/>
      <c r="K4" s="1644"/>
      <c r="L4" s="1901"/>
      <c r="M4" s="257"/>
      <c r="N4" s="1633"/>
      <c r="O4" s="1633"/>
      <c r="P4" s="1633"/>
      <c r="Q4" s="1633"/>
      <c r="R4" s="1633"/>
      <c r="S4" s="234"/>
      <c r="T4" s="234"/>
      <c r="U4" s="234"/>
      <c r="V4" s="234"/>
      <c r="IW4" s="1618">
        <v>14</v>
      </c>
    </row>
    <row s="1827" customFormat="1" customHeight="1" ht="27.299999999999997">
      <c r="A5" s="1640"/>
      <c r="B5" s="1375"/>
      <c r="C5" s="1640"/>
      <c r="D5" s="1524"/>
      <c r="E5" s="212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8"/>
      <c r="G5" s="2128"/>
      <c r="H5" s="2128"/>
      <c r="I5" s="2128"/>
      <c r="J5" s="2128"/>
      <c r="K5" s="2128"/>
      <c r="L5" s="1644"/>
      <c r="M5" s="257"/>
      <c r="N5" s="1633"/>
      <c r="O5" s="1633"/>
      <c r="P5" s="1633"/>
      <c r="Q5" s="1633"/>
      <c r="R5" s="1633"/>
      <c r="S5" s="234"/>
      <c r="T5" s="234"/>
      <c r="U5" s="234"/>
      <c r="V5" s="234"/>
      <c r="IW5" s="1618">
        <v>26</v>
      </c>
    </row>
    <row s="1827" customFormat="1" customHeight="1" ht="14.699999999999998">
      <c r="A6" s="1640"/>
      <c r="B6" s="1375"/>
      <c r="C6" s="1640"/>
      <c r="D6" s="1524"/>
      <c r="E6" s="1644"/>
      <c r="F6" s="625"/>
      <c r="G6" s="625"/>
      <c r="H6" s="625"/>
      <c r="I6" s="625"/>
      <c r="J6" s="625"/>
      <c r="K6" s="625"/>
      <c r="L6" s="1261"/>
      <c r="M6" s="1633"/>
      <c r="N6" s="1633"/>
      <c r="O6" s="1633"/>
      <c r="P6" s="1633"/>
      <c r="Q6" s="1633"/>
      <c r="R6" s="1633"/>
      <c r="S6" s="234"/>
      <c r="T6" s="234"/>
      <c r="U6" s="234"/>
      <c r="V6" s="234"/>
      <c r="IW6" s="1618">
        <v>14</v>
      </c>
    </row>
    <row s="1827" customFormat="1" customHeight="1" ht="14.699999999999998">
      <c r="A7" s="1640"/>
      <c r="B7" s="1375"/>
      <c r="C7" s="1640"/>
      <c r="D7" s="1524"/>
      <c r="E7" s="2129" t="s">
        <v>315</v>
      </c>
      <c r="F7" s="2130"/>
      <c r="G7" s="2130"/>
      <c r="H7" s="2130"/>
      <c r="I7" s="2130"/>
      <c r="J7" s="2130"/>
      <c r="K7" s="2130"/>
      <c r="L7" s="2502" t="s">
        <v>316</v>
      </c>
      <c r="M7" s="1633"/>
      <c r="N7" s="1633"/>
      <c r="O7" s="1633"/>
      <c r="P7" s="1633"/>
      <c r="Q7" s="1633"/>
      <c r="R7" s="1633"/>
      <c r="S7" s="234"/>
      <c r="T7" s="234"/>
      <c r="U7" s="234"/>
      <c r="V7" s="234"/>
      <c r="IW7" s="1618">
        <v>14</v>
      </c>
    </row>
    <row s="1827" customFormat="1" customHeight="1" ht="67.2">
      <c r="A8" s="1640"/>
      <c r="B8" s="1375"/>
      <c r="C8" s="1640"/>
      <c r="D8" s="1524"/>
      <c r="E8" s="2506" t="s">
        <v>89</v>
      </c>
      <c r="F8" s="2506" t="s">
        <v>2115</v>
      </c>
      <c r="G8" s="2508" t="s">
        <v>2116</v>
      </c>
      <c r="H8" s="2509"/>
      <c r="I8" s="2510"/>
      <c r="J8" s="2506" t="s">
        <v>2117</v>
      </c>
      <c r="K8" s="250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504"/>
      <c r="M8" s="1633"/>
      <c r="N8" s="1633"/>
      <c r="O8" s="1633"/>
      <c r="P8" s="1633"/>
      <c r="Q8" s="1633"/>
      <c r="R8" s="1633"/>
      <c r="S8" s="234"/>
      <c r="T8" s="234"/>
      <c r="U8" s="234"/>
      <c r="V8" s="234"/>
      <c r="IW8" s="1618">
        <v>64</v>
      </c>
    </row>
    <row s="1827" customFormat="1" customHeight="1" ht="29.25">
      <c r="A9" s="1640"/>
      <c r="B9" s="1375"/>
      <c r="C9" s="1640"/>
      <c r="D9" s="1524"/>
      <c r="E9" s="2507"/>
      <c r="F9" s="2507"/>
      <c r="G9" s="1900" t="s">
        <v>2111</v>
      </c>
      <c r="H9" s="1900" t="s">
        <v>2112</v>
      </c>
      <c r="I9" s="1900" t="s">
        <v>2113</v>
      </c>
      <c r="J9" s="2507"/>
      <c r="K9" s="2507"/>
      <c r="L9" s="2503"/>
      <c r="M9" s="1633"/>
      <c r="N9" s="1633"/>
      <c r="O9" s="1633"/>
      <c r="P9" s="1633"/>
      <c r="Q9" s="1633"/>
      <c r="R9" s="1633"/>
      <c r="S9" s="234"/>
      <c r="T9" s="234"/>
      <c r="U9" s="234"/>
      <c r="V9" s="234"/>
      <c r="IW9" s="1618">
        <v>28</v>
      </c>
    </row>
    <row s="1856" customFormat="1" customHeight="1" ht="1.05">
      <c r="A10" s="2127"/>
      <c r="B10" s="1375">
        <v>1</v>
      </c>
      <c r="C10" s="1375"/>
      <c r="D10" s="809"/>
      <c r="E10" s="804">
        <v>0</v>
      </c>
      <c r="F10" s="1897" t="str">
        <f>IF(ROIV_INFO_NAME="","",ROIV_INFO_NAME)</f>
        <v>АО "ДГК"</v>
      </c>
      <c r="G10" s="1741" t="s">
        <v>22</v>
      </c>
      <c r="H10" s="1909"/>
      <c r="I10" s="1909"/>
      <c r="J10" s="528"/>
      <c r="K10" s="528"/>
      <c r="L10" s="246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44">
        <f>MERGEVALUE(F10)</f>
      </c>
      <c r="N10" s="1645"/>
      <c r="O10" s="1645"/>
      <c r="P10" s="1633" t="str">
        <f t="array" ref="P10:P10">IF(ISERROR(MATCH(MID(Q10,1,250),MID(note_ter,1,250),0)),"n","y")</f>
        <v>n</v>
      </c>
      <c r="Q10" s="1645"/>
      <c r="R10" s="163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75"/>
      <c r="T10" s="1375"/>
      <c r="U10" s="429"/>
      <c r="V10" s="1375"/>
      <c r="W10" s="1375"/>
      <c r="X10" s="1375"/>
      <c r="Y10" s="842"/>
      <c r="Z10" s="842"/>
      <c r="AA10" s="636"/>
      <c r="AB10" s="636"/>
      <c r="AC10" s="636"/>
      <c r="AD10" s="636"/>
      <c r="AE10" s="636"/>
      <c r="AF10" s="636"/>
      <c r="AG10" s="636"/>
      <c r="AH10" s="636"/>
      <c r="AI10" s="636"/>
      <c r="AJ10" s="636"/>
      <c r="AK10" s="636"/>
      <c r="AL10" s="636"/>
      <c r="AM10" s="636"/>
      <c r="AN10" s="636"/>
      <c r="AO10" s="636"/>
      <c r="AP10" s="636"/>
      <c r="AQ10" s="636"/>
      <c r="AR10" s="636"/>
      <c r="AS10" s="636"/>
      <c r="AT10" s="636"/>
      <c r="AU10" s="636"/>
      <c r="AV10" s="636"/>
      <c r="AW10" s="636"/>
      <c r="AX10" s="636"/>
      <c r="AY10" s="636"/>
      <c r="AZ10" s="636"/>
      <c r="BA10" s="636"/>
      <c r="BB10" s="636"/>
      <c r="BC10" s="636"/>
      <c r="BD10" s="636"/>
      <c r="BE10" s="636"/>
      <c r="BF10" s="636"/>
      <c r="BG10" s="636"/>
      <c r="BH10" s="636"/>
      <c r="BI10" s="636"/>
      <c r="BJ10" s="636"/>
      <c r="BK10" s="636"/>
      <c r="BL10" s="636"/>
      <c r="BM10" s="636"/>
      <c r="BN10" s="636"/>
      <c r="BO10" s="636"/>
      <c r="BP10" s="636"/>
      <c r="BQ10" s="636"/>
      <c r="BR10" s="636"/>
      <c r="BS10" s="636"/>
      <c r="BT10" s="636"/>
      <c r="BU10" s="636"/>
      <c r="BV10" s="842"/>
      <c r="BW10" s="842"/>
      <c r="BX10" s="842"/>
      <c r="BY10" s="842"/>
      <c r="BZ10" s="842"/>
      <c r="CA10" s="842"/>
      <c r="CB10" s="842"/>
      <c r="CC10" s="842"/>
      <c r="CD10" s="842"/>
      <c r="CE10" s="842"/>
      <c r="IW10" s="633">
        <v>1</v>
      </c>
    </row>
    <row s="1856" customFormat="1" customHeight="1" ht="15.75">
      <c r="A11" s="2127"/>
      <c r="B11" s="1375"/>
      <c r="C11" s="421"/>
      <c r="D11" s="810"/>
      <c r="E11" s="430"/>
      <c r="F11" s="660" t="s">
        <v>2114</v>
      </c>
      <c r="G11" s="196"/>
      <c r="H11" s="196"/>
      <c r="I11" s="196"/>
      <c r="J11" s="196"/>
      <c r="K11" s="433"/>
      <c r="L11" s="2505"/>
      <c r="M11" s="1545"/>
      <c r="N11" s="1645"/>
      <c r="O11" s="1645"/>
      <c r="P11" s="1645"/>
      <c r="Q11" s="1633"/>
      <c r="R11" s="1645"/>
      <c r="S11" s="1375"/>
      <c r="T11" s="1375"/>
      <c r="U11" s="429"/>
      <c r="V11" s="1375"/>
      <c r="W11" s="1375"/>
      <c r="X11" s="1375"/>
      <c r="Y11" s="842"/>
      <c r="Z11" s="842"/>
      <c r="AA11" s="636"/>
      <c r="AB11" s="636"/>
      <c r="AC11" s="636"/>
      <c r="AD11" s="636"/>
      <c r="AE11" s="636"/>
      <c r="AF11" s="636"/>
      <c r="AG11" s="636"/>
      <c r="AH11" s="636"/>
      <c r="AI11" s="636"/>
      <c r="AJ11" s="636"/>
      <c r="AK11" s="636"/>
      <c r="AL11" s="636"/>
      <c r="AM11" s="636"/>
      <c r="AN11" s="636"/>
      <c r="AO11" s="636"/>
      <c r="AP11" s="636"/>
      <c r="AQ11" s="636"/>
      <c r="AR11" s="636"/>
      <c r="AS11" s="636"/>
      <c r="AT11" s="636"/>
      <c r="AU11" s="636"/>
      <c r="AV11" s="636"/>
      <c r="AW11" s="636"/>
      <c r="AX11" s="636"/>
      <c r="AY11" s="636"/>
      <c r="AZ11" s="636"/>
      <c r="BA11" s="636"/>
      <c r="BB11" s="636"/>
      <c r="BC11" s="636"/>
      <c r="BD11" s="636"/>
      <c r="BE11" s="636"/>
      <c r="BF11" s="636"/>
      <c r="BG11" s="636"/>
      <c r="BH11" s="636"/>
      <c r="BI11" s="636"/>
      <c r="BJ11" s="636"/>
      <c r="BK11" s="636"/>
      <c r="BL11" s="636"/>
      <c r="BM11" s="636"/>
      <c r="BN11" s="636"/>
      <c r="BO11" s="636"/>
      <c r="BP11" s="636"/>
      <c r="BQ11" s="636"/>
      <c r="BR11" s="636"/>
      <c r="BS11" s="636"/>
      <c r="BT11" s="636"/>
      <c r="BU11" s="636"/>
      <c r="BV11" s="842"/>
      <c r="BW11" s="842"/>
      <c r="BX11" s="842"/>
      <c r="BY11" s="842"/>
      <c r="BZ11" s="842"/>
      <c r="CA11" s="842"/>
      <c r="CB11" s="842"/>
      <c r="CC11" s="842"/>
      <c r="CD11" s="842"/>
      <c r="CE11" s="842"/>
      <c r="IW11" s="633">
        <v>15</v>
      </c>
    </row>
    <row s="1827" customFormat="1" customHeight="1" ht="22.049999999999997">
      <c r="A12" s="1640"/>
      <c r="B12" s="1375"/>
      <c r="C12" s="1640"/>
      <c r="D12" s="1642"/>
      <c r="E12" s="189"/>
      <c r="F12" s="189"/>
      <c r="G12" s="189"/>
      <c r="H12" s="189"/>
      <c r="I12" s="189"/>
      <c r="J12" s="189"/>
      <c r="K12" s="189"/>
      <c r="L12" s="189"/>
      <c r="M12" s="1633"/>
      <c r="N12" s="1633"/>
      <c r="O12" s="1633"/>
      <c r="P12" s="1633"/>
      <c r="Q12" s="1633"/>
      <c r="R12" s="1633"/>
      <c r="S12" s="234"/>
      <c r="T12" s="234"/>
      <c r="U12" s="234"/>
      <c r="V12" s="234"/>
      <c r="IW12" s="1618">
        <v>21</v>
      </c>
    </row>
    <row s="1827" customFormat="1" customHeight="1" ht="14.699999999999998">
      <c r="A13" s="1640"/>
      <c r="B13" s="1375"/>
      <c r="C13" s="1640"/>
      <c r="D13" s="1642"/>
      <c r="E13" s="1640"/>
      <c r="F13" s="1640"/>
      <c r="G13" s="1640"/>
      <c r="H13" s="1640"/>
      <c r="I13" s="1640"/>
      <c r="J13" s="1640"/>
      <c r="K13" s="1640"/>
      <c r="L13" s="1640"/>
      <c r="M13" s="1633"/>
      <c r="N13" s="1633"/>
      <c r="O13" s="1633"/>
      <c r="P13" s="1633"/>
      <c r="Q13" s="1633"/>
      <c r="R13" s="1633"/>
      <c r="S13" s="234"/>
      <c r="T13" s="234"/>
      <c r="U13" s="234"/>
      <c r="V13" s="234"/>
      <c r="IW13" s="1618">
        <v>14</v>
      </c>
    </row>
    <row s="1827" customFormat="1" customHeight="1" ht="1.05">
      <c r="A14" s="1640"/>
      <c r="B14" s="1375"/>
      <c r="C14" s="1640"/>
      <c r="D14" s="1642"/>
      <c r="E14" s="1640"/>
      <c r="F14" s="1640"/>
      <c r="G14" s="1640"/>
      <c r="H14" s="1640"/>
      <c r="I14" s="1640"/>
      <c r="J14" s="1640"/>
      <c r="K14" s="1640"/>
      <c r="L14" s="1640"/>
      <c r="M14" s="1633"/>
      <c r="N14" s="1633"/>
      <c r="O14" s="1633"/>
      <c r="P14" s="1633"/>
      <c r="Q14" s="1633"/>
      <c r="R14" s="1633"/>
      <c r="S14" s="234"/>
      <c r="T14" s="234"/>
      <c r="U14" s="234"/>
      <c r="V14" s="234"/>
      <c r="IW14" s="1618">
        <v>1</v>
      </c>
    </row>
    <row customHeight="1" ht="22.5" hidden="1">
      <c r="A15" s="1640" t="s">
        <v>83</v>
      </c>
      <c r="B15" s="1375">
        <v>0</v>
      </c>
      <c r="C15" s="1640">
        <v>0</v>
      </c>
      <c r="D15" s="1642">
        <v>3</v>
      </c>
      <c r="E15" s="1640">
        <v>6</v>
      </c>
      <c r="F15" s="1640">
        <v>27</v>
      </c>
      <c r="G15" s="1640">
        <v>16</v>
      </c>
      <c r="H15" s="1640">
        <v>12</v>
      </c>
      <c r="I15" s="1640">
        <v>32</v>
      </c>
      <c r="J15" s="1640">
        <v>41</v>
      </c>
      <c r="K15" s="1640">
        <v>41</v>
      </c>
      <c r="L15" s="1640">
        <v>89</v>
      </c>
      <c r="M15" s="1633">
        <v>3</v>
      </c>
      <c r="N15" s="1633">
        <v>8</v>
      </c>
      <c r="O15" s="1633">
        <v>8</v>
      </c>
      <c r="P15" s="1633">
        <v>8</v>
      </c>
      <c r="Q15" s="1633">
        <v>25</v>
      </c>
      <c r="R15" s="1633">
        <v>14</v>
      </c>
      <c r="S15" s="234">
        <v>8</v>
      </c>
      <c r="T15" s="234">
        <v>8</v>
      </c>
      <c r="U15" s="234">
        <v>8</v>
      </c>
      <c r="V15" s="234">
        <v>8</v>
      </c>
      <c r="W15" s="1640">
        <v>8</v>
      </c>
      <c r="X15" s="1640">
        <v>8</v>
      </c>
      <c r="Y15" s="1640">
        <v>8</v>
      </c>
      <c r="Z15" s="1640">
        <v>8</v>
      </c>
      <c r="AA15" s="1640">
        <v>8</v>
      </c>
      <c r="AB15" s="1640">
        <v>8</v>
      </c>
      <c r="AC15" s="1640">
        <v>8</v>
      </c>
      <c r="AD15" s="1640">
        <v>8</v>
      </c>
      <c r="AE15" s="1640">
        <v>8</v>
      </c>
      <c r="AF15" s="1640">
        <v>8</v>
      </c>
      <c r="AG15" s="1640">
        <v>8</v>
      </c>
      <c r="AH15" s="1640">
        <v>8</v>
      </c>
      <c r="AI15" s="1640">
        <v>8</v>
      </c>
      <c r="AJ15" s="1640">
        <v>8</v>
      </c>
      <c r="AK15" s="1640">
        <v>8</v>
      </c>
      <c r="AL15" s="1640">
        <v>8</v>
      </c>
      <c r="AM15" s="1640">
        <v>8</v>
      </c>
      <c r="AN15" s="1640">
        <v>8</v>
      </c>
      <c r="AO15" s="1640">
        <v>8</v>
      </c>
      <c r="AP15" s="1640">
        <v>8</v>
      </c>
      <c r="AQ15" s="1640">
        <v>8</v>
      </c>
      <c r="AR15" s="1640">
        <v>8</v>
      </c>
      <c r="AS15" s="1640">
        <v>8</v>
      </c>
      <c r="AT15" s="1640">
        <v>8</v>
      </c>
      <c r="AU15" s="1640">
        <v>8</v>
      </c>
      <c r="AV15" s="1640">
        <v>8</v>
      </c>
      <c r="AW15" s="1640">
        <v>8</v>
      </c>
      <c r="AX15" s="1640">
        <v>8</v>
      </c>
      <c r="AY15" s="1640">
        <v>8</v>
      </c>
      <c r="AZ15" s="1640">
        <v>8</v>
      </c>
      <c r="BA15" s="1640">
        <v>8</v>
      </c>
      <c r="BB15" s="1640">
        <v>8</v>
      </c>
      <c r="BC15" s="1640">
        <v>8</v>
      </c>
      <c r="BD15" s="1640">
        <v>8</v>
      </c>
      <c r="BE15" s="1640">
        <v>8</v>
      </c>
      <c r="BF15" s="1640">
        <v>8</v>
      </c>
      <c r="BG15" s="1640">
        <v>8</v>
      </c>
      <c r="BH15" s="1640">
        <v>8</v>
      </c>
      <c r="BI15" s="1640">
        <v>8</v>
      </c>
      <c r="BJ15" s="1640">
        <v>8</v>
      </c>
      <c r="BK15" s="1640">
        <v>8</v>
      </c>
      <c r="BL15" s="1640">
        <v>8</v>
      </c>
      <c r="BM15" s="1640">
        <v>8</v>
      </c>
      <c r="BN15" s="1640">
        <v>8</v>
      </c>
      <c r="BO15" s="1640">
        <v>8</v>
      </c>
      <c r="BP15" s="1640">
        <v>8</v>
      </c>
      <c r="BQ15" s="1640">
        <v>8</v>
      </c>
      <c r="BR15" s="1640">
        <v>8</v>
      </c>
      <c r="BS15" s="1640">
        <v>8</v>
      </c>
      <c r="BT15" s="1640">
        <v>8</v>
      </c>
      <c r="BU15" s="1640">
        <v>8</v>
      </c>
      <c r="BV15" s="1640">
        <v>8</v>
      </c>
      <c r="BW15" s="1640">
        <v>8</v>
      </c>
      <c r="BX15" s="1640">
        <v>8</v>
      </c>
      <c r="BY15" s="1640">
        <v>8</v>
      </c>
      <c r="BZ15" s="1640">
        <v>8</v>
      </c>
      <c r="CA15" s="1640">
        <v>8</v>
      </c>
      <c r="CB15" s="1640">
        <v>8</v>
      </c>
      <c r="CC15" s="1640">
        <v>8</v>
      </c>
      <c r="CD15" s="1640">
        <v>8</v>
      </c>
      <c r="CE15" s="1640">
        <v>8</v>
      </c>
      <c r="CF15" s="1640">
        <v>8</v>
      </c>
      <c r="CG15" s="1640">
        <v>8</v>
      </c>
      <c r="CH15" s="1640">
        <v>8</v>
      </c>
      <c r="CI15" s="1640">
        <v>8</v>
      </c>
      <c r="CJ15" s="1640">
        <v>8</v>
      </c>
      <c r="CK15" s="1640">
        <v>8</v>
      </c>
      <c r="CL15" s="1640">
        <v>8</v>
      </c>
      <c r="CM15" s="1640">
        <v>8</v>
      </c>
      <c r="CN15" s="1640">
        <v>8</v>
      </c>
      <c r="CO15" s="1640">
        <v>8</v>
      </c>
      <c r="CP15" s="1640">
        <v>8</v>
      </c>
      <c r="CQ15" s="1640">
        <v>8</v>
      </c>
      <c r="CR15" s="1640">
        <v>8</v>
      </c>
      <c r="CS15" s="1640">
        <v>8</v>
      </c>
      <c r="CT15" s="1640">
        <v>8</v>
      </c>
      <c r="CU15" s="1640">
        <v>8</v>
      </c>
      <c r="CV15" s="1640">
        <v>8</v>
      </c>
      <c r="CW15" s="1640">
        <v>8</v>
      </c>
      <c r="CX15" s="1640">
        <v>8</v>
      </c>
      <c r="CY15" s="1640">
        <v>8</v>
      </c>
      <c r="CZ15" s="1640">
        <v>8</v>
      </c>
      <c r="DA15" s="1640">
        <v>8</v>
      </c>
      <c r="DB15" s="1640">
        <v>8</v>
      </c>
      <c r="DC15" s="1640">
        <v>8</v>
      </c>
      <c r="DD15" s="1640">
        <v>8</v>
      </c>
      <c r="DE15" s="1640">
        <v>8</v>
      </c>
      <c r="DF15" s="1640">
        <v>8</v>
      </c>
      <c r="DG15" s="1640">
        <v>8</v>
      </c>
      <c r="DH15" s="1640">
        <v>8</v>
      </c>
      <c r="DI15" s="1640">
        <v>8</v>
      </c>
      <c r="DJ15" s="1640">
        <v>8</v>
      </c>
      <c r="DK15" s="1640">
        <v>8</v>
      </c>
      <c r="DL15" s="1640">
        <v>8</v>
      </c>
      <c r="DM15" s="1640">
        <v>8</v>
      </c>
      <c r="DN15" s="1640">
        <v>8</v>
      </c>
      <c r="DO15" s="1640">
        <v>8</v>
      </c>
      <c r="DP15" s="1640">
        <v>8</v>
      </c>
      <c r="DQ15" s="1640">
        <v>8</v>
      </c>
      <c r="DR15" s="1640">
        <v>8</v>
      </c>
      <c r="DS15" s="1640">
        <v>8</v>
      </c>
      <c r="DT15" s="1640">
        <v>8</v>
      </c>
      <c r="DU15" s="1640">
        <v>8</v>
      </c>
      <c r="DV15" s="1640">
        <v>8</v>
      </c>
      <c r="DW15" s="1640">
        <v>8</v>
      </c>
      <c r="DX15" s="1640">
        <v>8</v>
      </c>
      <c r="DY15" s="1640">
        <v>8</v>
      </c>
      <c r="DZ15" s="1640">
        <v>8</v>
      </c>
      <c r="EA15" s="1640">
        <v>8</v>
      </c>
      <c r="EB15" s="1640">
        <v>8</v>
      </c>
      <c r="EC15" s="1640">
        <v>8</v>
      </c>
      <c r="ED15" s="1640">
        <v>8</v>
      </c>
      <c r="EE15" s="1640">
        <v>8</v>
      </c>
      <c r="EF15" s="1640">
        <v>8</v>
      </c>
      <c r="EG15" s="1640">
        <v>8</v>
      </c>
      <c r="EH15" s="1640">
        <v>8</v>
      </c>
      <c r="EI15" s="1640">
        <v>8</v>
      </c>
      <c r="EJ15" s="1640">
        <v>8</v>
      </c>
      <c r="EK15" s="1640">
        <v>8</v>
      </c>
      <c r="EL15" s="1640">
        <v>8</v>
      </c>
      <c r="EM15" s="1640">
        <v>8</v>
      </c>
      <c r="EN15" s="1640">
        <v>8</v>
      </c>
      <c r="EO15" s="1640">
        <v>8</v>
      </c>
      <c r="EP15" s="1640">
        <v>8</v>
      </c>
      <c r="EQ15" s="1640">
        <v>8</v>
      </c>
      <c r="ER15" s="1640">
        <v>8</v>
      </c>
      <c r="ES15" s="1640">
        <v>8</v>
      </c>
      <c r="ET15" s="1640">
        <v>8</v>
      </c>
      <c r="EU15" s="1640">
        <v>8</v>
      </c>
      <c r="EV15" s="1640">
        <v>8</v>
      </c>
      <c r="EW15" s="1640">
        <v>8</v>
      </c>
      <c r="EX15" s="1640">
        <v>8</v>
      </c>
      <c r="EY15" s="1640">
        <v>8</v>
      </c>
      <c r="EZ15" s="1640">
        <v>8</v>
      </c>
      <c r="FA15" s="1640">
        <v>8</v>
      </c>
      <c r="FB15" s="1640">
        <v>8</v>
      </c>
      <c r="FC15" s="1640">
        <v>8</v>
      </c>
      <c r="FD15" s="1640">
        <v>8</v>
      </c>
      <c r="FE15" s="1640">
        <v>8</v>
      </c>
      <c r="FF15" s="1640">
        <v>8</v>
      </c>
      <c r="FG15" s="1640">
        <v>8</v>
      </c>
      <c r="FH15" s="1640">
        <v>8</v>
      </c>
      <c r="FI15" s="1640">
        <v>8</v>
      </c>
      <c r="FJ15" s="1640">
        <v>8</v>
      </c>
      <c r="FK15" s="1640">
        <v>8</v>
      </c>
      <c r="FL15" s="1640">
        <v>8</v>
      </c>
      <c r="FM15" s="1640">
        <v>8</v>
      </c>
      <c r="FN15" s="1640">
        <v>8</v>
      </c>
      <c r="FO15" s="1640">
        <v>8</v>
      </c>
      <c r="FP15" s="1640">
        <v>8</v>
      </c>
      <c r="FQ15" s="1640">
        <v>8</v>
      </c>
      <c r="FR15" s="1640">
        <v>8</v>
      </c>
      <c r="FS15" s="1640">
        <v>8</v>
      </c>
      <c r="FT15" s="1640">
        <v>8</v>
      </c>
      <c r="FU15" s="1640">
        <v>8</v>
      </c>
      <c r="FV15" s="1640">
        <v>8</v>
      </c>
      <c r="FW15" s="1640">
        <v>8</v>
      </c>
      <c r="FX15" s="1640">
        <v>8</v>
      </c>
      <c r="FY15" s="1640">
        <v>8</v>
      </c>
      <c r="FZ15" s="1640">
        <v>8</v>
      </c>
      <c r="GA15" s="1640">
        <v>8</v>
      </c>
      <c r="GB15" s="1640">
        <v>8</v>
      </c>
      <c r="GC15" s="1640">
        <v>8</v>
      </c>
      <c r="GD15" s="1640">
        <v>8</v>
      </c>
      <c r="GE15" s="1640">
        <v>8</v>
      </c>
      <c r="GF15" s="1640">
        <v>8</v>
      </c>
      <c r="GG15" s="1640">
        <v>8</v>
      </c>
      <c r="GH15" s="1640">
        <v>8</v>
      </c>
      <c r="GI15" s="1640">
        <v>8</v>
      </c>
      <c r="GJ15" s="1640">
        <v>8</v>
      </c>
      <c r="GK15" s="1640">
        <v>8</v>
      </c>
      <c r="GL15" s="1640">
        <v>8</v>
      </c>
      <c r="GM15" s="1640">
        <v>8</v>
      </c>
      <c r="GN15" s="1640">
        <v>8</v>
      </c>
      <c r="GO15" s="1640">
        <v>8</v>
      </c>
      <c r="GP15" s="1640">
        <v>8</v>
      </c>
      <c r="GQ15" s="1640">
        <v>8</v>
      </c>
      <c r="GR15" s="1640">
        <v>8</v>
      </c>
      <c r="GS15" s="1640">
        <v>8</v>
      </c>
      <c r="GT15" s="1640">
        <v>8</v>
      </c>
      <c r="GU15" s="1640">
        <v>8</v>
      </c>
      <c r="GV15" s="1640">
        <v>8</v>
      </c>
      <c r="GW15" s="1640">
        <v>8</v>
      </c>
      <c r="GX15" s="1640">
        <v>8</v>
      </c>
      <c r="GY15" s="1640">
        <v>8</v>
      </c>
      <c r="GZ15" s="1640">
        <v>8</v>
      </c>
      <c r="HA15" s="1640">
        <v>8</v>
      </c>
      <c r="HB15" s="1640">
        <v>8</v>
      </c>
      <c r="HC15" s="1640">
        <v>8</v>
      </c>
      <c r="HD15" s="1640">
        <v>8</v>
      </c>
      <c r="HE15" s="1640">
        <v>8</v>
      </c>
      <c r="HF15" s="1640">
        <v>8</v>
      </c>
      <c r="HG15" s="1640">
        <v>8</v>
      </c>
      <c r="HH15" s="1640">
        <v>8</v>
      </c>
      <c r="HI15" s="1640">
        <v>8</v>
      </c>
      <c r="HJ15" s="1640">
        <v>8</v>
      </c>
      <c r="HK15" s="1640">
        <v>8</v>
      </c>
      <c r="HL15" s="1640">
        <v>8</v>
      </c>
      <c r="HM15" s="1640">
        <v>8</v>
      </c>
      <c r="HN15" s="1640">
        <v>8</v>
      </c>
      <c r="HO15" s="1640">
        <v>8</v>
      </c>
      <c r="HP15" s="1640">
        <v>8</v>
      </c>
      <c r="HQ15" s="1640">
        <v>8</v>
      </c>
      <c r="HR15" s="1640">
        <v>8</v>
      </c>
      <c r="HS15" s="1640">
        <v>8</v>
      </c>
      <c r="HT15" s="1640">
        <v>8</v>
      </c>
      <c r="HU15" s="1640">
        <v>8</v>
      </c>
      <c r="HV15" s="1640">
        <v>8</v>
      </c>
      <c r="HW15" s="1640">
        <v>8</v>
      </c>
      <c r="HX15" s="1640">
        <v>8</v>
      </c>
      <c r="HY15" s="1640">
        <v>8</v>
      </c>
      <c r="HZ15" s="1640">
        <v>8</v>
      </c>
      <c r="IA15" s="1640">
        <v>8</v>
      </c>
      <c r="IB15" s="1640">
        <v>8</v>
      </c>
      <c r="IC15" s="1640">
        <v>8</v>
      </c>
      <c r="ID15" s="1640">
        <v>8</v>
      </c>
      <c r="IE15" s="1640">
        <v>8</v>
      </c>
      <c r="IF15" s="1640">
        <v>8</v>
      </c>
      <c r="IG15" s="1640">
        <v>8</v>
      </c>
      <c r="IH15" s="1640">
        <v>8</v>
      </c>
      <c r="II15" s="1640">
        <v>8</v>
      </c>
      <c r="IJ15" s="1640">
        <v>8</v>
      </c>
      <c r="IK15" s="1640">
        <v>8</v>
      </c>
      <c r="IL15" s="1640">
        <v>8</v>
      </c>
      <c r="IM15" s="1640">
        <v>8</v>
      </c>
      <c r="IN15" s="1640">
        <v>8</v>
      </c>
      <c r="IO15" s="1640">
        <v>8</v>
      </c>
      <c r="IP15" s="1640">
        <v>8</v>
      </c>
      <c r="IQ15" s="1640">
        <v>8</v>
      </c>
      <c r="IR15" s="1640">
        <v>8</v>
      </c>
      <c r="IS15" s="1640">
        <v>8</v>
      </c>
      <c r="IT15" s="1640">
        <v>8</v>
      </c>
      <c r="IU15" s="1640">
        <v>8</v>
      </c>
      <c r="IV15" s="1640">
        <v>8</v>
      </c>
      <c r="IW15" s="1640">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D3BE59-5488-0C0B-A93A-0.37E348AA}"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44" width="9.140625" hidden="1"/>
    <col min="2" max="2" style="1375" width="9.140625" hidden="1"/>
    <col min="3" max="3" style="1644" width="3.7109375" hidden="1" customWidth="1"/>
    <col min="4" max="4" style="1848" width="3.00390625" customWidth="1"/>
    <col min="5" max="5" style="1644" width="6.00390625" customWidth="1"/>
    <col min="6" max="6" style="1644" width="27.00390625" customWidth="1"/>
    <col min="7" max="7" style="1644" width="29.00390625" customWidth="1"/>
    <col min="8" max="8" style="1644" width="25.00390625" customWidth="1"/>
    <col min="9" max="9" style="1644" width="5.00390625" customWidth="1"/>
    <col min="10" max="10" style="1644" width="6.00390625" customWidth="1"/>
    <col min="11" max="11" style="1644" width="41.00390625" customWidth="1"/>
    <col min="12" max="12" style="1644" width="42.00390625" customWidth="1"/>
    <col min="13" max="13" style="1644" width="41.00390625" customWidth="1"/>
    <col min="14" max="14" style="1644" width="89.00390625" customWidth="1"/>
    <col min="15" max="15" style="1633" width="3.00390625" customWidth="1"/>
    <col min="16" max="16" style="1633" width="8.00390625" customWidth="1"/>
    <col min="17" max="17" style="1644" width="9.140625" hidden="1"/>
  </cols>
  <sheetData>
    <row customHeight="1" ht="22.5" hidden="1">
      <c r="Q1" s="1164" t="s">
        <v>14</v>
      </c>
    </row>
    <row s="1856" customFormat="1" customHeight="1" ht="22.5" hidden="1">
      <c r="A2" s="505"/>
      <c r="B2" s="1169">
        <v>1</v>
      </c>
      <c r="C2" s="1169"/>
      <c r="D2" s="1934" t="s">
        <v>104</v>
      </c>
      <c r="E2" s="2155">
        <v>1</v>
      </c>
      <c r="F2" s="2331" t="str">
        <f>IF(region_name="","",region_name)</f>
        <v>Приморский край</v>
      </c>
      <c r="G2" s="2511"/>
      <c r="H2" s="2512"/>
      <c r="I2" s="483"/>
      <c r="J2" s="1916">
        <v>1</v>
      </c>
      <c r="K2" s="1918"/>
      <c r="L2" s="1918"/>
      <c r="M2" s="1918"/>
      <c r="N2" s="501"/>
      <c r="O2" s="1544"/>
      <c r="P2" s="520"/>
      <c r="Q2" s="432">
        <v>0</v>
      </c>
    </row>
    <row s="1856" customFormat="1" customHeight="1" ht="22.5" hidden="1">
      <c r="A3" s="840"/>
      <c r="B3" s="1169"/>
      <c r="C3" s="1169"/>
      <c r="D3" s="810"/>
      <c r="E3" s="2155"/>
      <c r="F3" s="2331"/>
      <c r="G3" s="2511"/>
      <c r="H3" s="2513"/>
      <c r="I3" s="430"/>
      <c r="J3" s="1509"/>
      <c r="K3" s="1509" t="s">
        <v>2118</v>
      </c>
      <c r="L3" s="1552"/>
      <c r="M3" s="1926"/>
      <c r="N3" s="1919"/>
      <c r="O3" s="1544"/>
      <c r="P3" s="520"/>
      <c r="Q3" s="432">
        <v>0</v>
      </c>
    </row>
    <row s="1651" customFormat="1" customHeight="1" ht="5.25" hidden="1">
      <c r="A4" s="505"/>
      <c r="D4" s="503"/>
      <c r="F4" s="256" t="s">
        <v>84</v>
      </c>
      <c r="G4" s="503" t="s">
        <v>85</v>
      </c>
      <c r="H4" s="503"/>
      <c r="I4" s="1929"/>
      <c r="J4" s="1553"/>
      <c r="K4" s="1917"/>
      <c r="L4" s="1917"/>
      <c r="M4" s="1917"/>
      <c r="N4" s="1913"/>
      <c r="O4" s="256" t="s">
        <v>84</v>
      </c>
      <c r="P4" s="256"/>
      <c r="Q4" s="520">
        <v>0</v>
      </c>
    </row>
    <row s="1856" customFormat="1" customHeight="1" ht="22.5" hidden="1">
      <c r="A5" s="1650"/>
      <c r="B5" s="1375">
        <v>1</v>
      </c>
      <c r="C5" s="1375"/>
      <c r="D5" s="810"/>
      <c r="E5" s="1919"/>
      <c r="F5" s="1919"/>
      <c r="G5" s="1919"/>
      <c r="H5" s="1930"/>
      <c r="I5" s="1935" t="s">
        <v>104</v>
      </c>
      <c r="J5" s="1928">
        <v>1</v>
      </c>
      <c r="K5" s="1918"/>
      <c r="L5" s="1918"/>
      <c r="M5" s="1918"/>
      <c r="N5" s="501"/>
      <c r="O5" s="1544"/>
      <c r="P5" s="1645"/>
      <c r="Q5" s="633">
        <v>0</v>
      </c>
    </row>
    <row s="1827" customFormat="1" customHeight="1" ht="14.699999999999998">
      <c r="A6" s="1164"/>
      <c r="B6" s="1169"/>
      <c r="C6" s="1164"/>
      <c r="D6" s="1504"/>
      <c r="E6" s="518"/>
      <c r="F6" s="518"/>
      <c r="G6" s="518"/>
      <c r="H6" s="518"/>
      <c r="I6" s="518"/>
      <c r="J6" s="518"/>
      <c r="K6" s="518"/>
      <c r="L6" s="518"/>
      <c r="M6" s="518"/>
      <c r="N6" s="1644"/>
      <c r="O6" s="256"/>
      <c r="P6" s="509"/>
      <c r="Q6" s="516">
        <v>14</v>
      </c>
    </row>
    <row s="1827" customFormat="1" customHeight="1" ht="27.299999999999997">
      <c r="A7" s="1164"/>
      <c r="B7" s="1169"/>
      <c r="C7" s="1164"/>
      <c r="D7" s="1504"/>
      <c r="E7" s="251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18"/>
      <c r="G7" s="2518"/>
      <c r="H7" s="2518"/>
      <c r="I7" s="2518"/>
      <c r="J7" s="2518"/>
      <c r="K7" s="2518"/>
      <c r="L7" s="2518"/>
      <c r="M7" s="2518"/>
      <c r="N7" s="1261"/>
      <c r="O7" s="256"/>
      <c r="P7" s="509"/>
      <c r="Q7" s="516">
        <v>26</v>
      </c>
    </row>
    <row s="1827" customFormat="1" customHeight="1" ht="14.699999999999998">
      <c r="A8" s="1164"/>
      <c r="B8" s="1169"/>
      <c r="C8" s="1164"/>
      <c r="D8" s="1504"/>
      <c r="E8" s="518"/>
      <c r="F8" s="176"/>
      <c r="G8" s="176"/>
      <c r="H8" s="176"/>
      <c r="I8" s="176"/>
      <c r="J8" s="176"/>
      <c r="K8" s="176"/>
      <c r="L8" s="176"/>
      <c r="M8" s="176"/>
      <c r="N8" s="625"/>
      <c r="O8" s="509"/>
      <c r="P8" s="509"/>
      <c r="Q8" s="516">
        <v>14</v>
      </c>
    </row>
    <row s="1555" customFormat="1" customHeight="1" ht="14.25" hidden="1">
      <c r="A9" s="1477"/>
      <c r="B9" s="1487"/>
      <c r="C9" s="1477"/>
      <c r="D9" s="1504"/>
      <c r="E9" s="1920"/>
      <c r="F9" s="1920"/>
      <c r="G9" s="1920"/>
      <c r="H9" s="1920"/>
      <c r="I9" s="2521"/>
      <c r="J9" s="2521"/>
      <c r="K9" s="2521"/>
      <c r="L9" s="1920"/>
      <c r="M9" s="1921"/>
      <c r="O9" s="1554"/>
      <c r="P9" s="1554"/>
      <c r="Q9" s="1555">
        <v>0</v>
      </c>
    </row>
    <row s="1827" customFormat="1" customHeight="1" ht="14.699999999999998">
      <c r="A10" s="1164"/>
      <c r="B10" s="1169"/>
      <c r="C10" s="1164"/>
      <c r="D10" s="1504"/>
      <c r="E10" s="2155" t="s">
        <v>315</v>
      </c>
      <c r="F10" s="2155"/>
      <c r="G10" s="2155"/>
      <c r="H10" s="2155"/>
      <c r="I10" s="2155"/>
      <c r="J10" s="2155"/>
      <c r="K10" s="2155"/>
      <c r="L10" s="2155"/>
      <c r="M10" s="2129"/>
      <c r="N10" s="2506" t="s">
        <v>316</v>
      </c>
      <c r="O10" s="509"/>
      <c r="P10" s="509"/>
      <c r="Q10" s="516">
        <v>14</v>
      </c>
    </row>
    <row s="1827" customFormat="1" customHeight="1" ht="44.25">
      <c r="A11" s="1640"/>
      <c r="B11" s="1375"/>
      <c r="C11" s="1640"/>
      <c r="D11" s="1524"/>
      <c r="E11" s="2520" t="s">
        <v>89</v>
      </c>
      <c r="F11" s="2520" t="s">
        <v>319</v>
      </c>
      <c r="G11" s="2520" t="s">
        <v>2119</v>
      </c>
      <c r="H11" s="2520"/>
      <c r="I11" s="2520" t="s">
        <v>2120</v>
      </c>
      <c r="J11" s="2520"/>
      <c r="K11" s="2520"/>
      <c r="L11" s="2520" t="s">
        <v>2121</v>
      </c>
      <c r="M11" s="2508" t="s">
        <v>2122</v>
      </c>
      <c r="N11" s="2519"/>
      <c r="O11" s="1633"/>
      <c r="P11" s="1633"/>
      <c r="Q11" s="1618">
        <v>42</v>
      </c>
    </row>
    <row s="1827" customFormat="1" customHeight="1" ht="29.25">
      <c r="A12" s="1164"/>
      <c r="B12" s="1169"/>
      <c r="C12" s="1164"/>
      <c r="D12" s="1504"/>
      <c r="E12" s="2506"/>
      <c r="F12" s="2520"/>
      <c r="G12" s="1915" t="s">
        <v>2123</v>
      </c>
      <c r="H12" s="1915" t="s">
        <v>323</v>
      </c>
      <c r="I12" s="2520"/>
      <c r="J12" s="2520"/>
      <c r="K12" s="2520"/>
      <c r="L12" s="2520"/>
      <c r="M12" s="2508"/>
      <c r="N12" s="2507"/>
      <c r="O12" s="509"/>
      <c r="P12" s="509"/>
      <c r="Q12" s="516">
        <v>28</v>
      </c>
    </row>
    <row s="1856" customFormat="1" customHeight="1" ht="23.25">
      <c r="A13" s="2127">
        <v>26379339</v>
      </c>
      <c r="B13" s="1169">
        <v>1</v>
      </c>
      <c r="C13" s="1169"/>
      <c r="D13" s="810"/>
      <c r="E13" s="2155">
        <v>1</v>
      </c>
      <c r="F13" s="2514" t="str">
        <f>IF(region_name="","",region_name)</f>
        <v>Приморский край</v>
      </c>
      <c r="G13" s="2515"/>
      <c r="H13" s="2522"/>
      <c r="I13" s="483"/>
      <c r="J13" s="1911">
        <v>1</v>
      </c>
      <c r="K13" s="1924"/>
      <c r="L13" s="1925"/>
      <c r="M13" s="1925"/>
      <c r="N13" s="2516" t="s">
        <v>2124</v>
      </c>
      <c r="O13" s="1544"/>
      <c r="P13" s="520"/>
      <c r="Q13" s="432">
        <v>22</v>
      </c>
    </row>
    <row s="1856" customFormat="1" customHeight="1" ht="23.25">
      <c r="A14" s="2127"/>
      <c r="B14" s="1169"/>
      <c r="C14" s="1169"/>
      <c r="D14" s="810"/>
      <c r="E14" s="2155"/>
      <c r="F14" s="2514"/>
      <c r="G14" s="2515"/>
      <c r="H14" s="2523"/>
      <c r="I14" s="430"/>
      <c r="J14" s="1509"/>
      <c r="K14" s="1509" t="s">
        <v>2118</v>
      </c>
      <c r="L14" s="1552"/>
      <c r="M14" s="1552"/>
      <c r="N14" s="2517"/>
      <c r="O14" s="1544"/>
      <c r="P14" s="520"/>
      <c r="Q14" s="432">
        <v>22</v>
      </c>
    </row>
    <row s="1856" customFormat="1" customHeight="1" ht="23.25">
      <c r="A15" s="2127"/>
      <c r="B15" s="1169"/>
      <c r="C15" s="421"/>
      <c r="D15" s="810"/>
      <c r="E15" s="430"/>
      <c r="F15" s="1509" t="s">
        <v>2110</v>
      </c>
      <c r="G15" s="1551"/>
      <c r="H15" s="1551"/>
      <c r="I15" s="196"/>
      <c r="J15" s="196"/>
      <c r="K15" s="196"/>
      <c r="L15" s="196"/>
      <c r="M15" s="196"/>
      <c r="N15" s="2517"/>
      <c r="O15" s="1545"/>
      <c r="P15" s="520"/>
      <c r="Q15" s="432">
        <v>22</v>
      </c>
    </row>
    <row s="1827" customFormat="1" customHeight="1" ht="22.049999999999997">
      <c r="A16" s="1164"/>
      <c r="B16" s="1169"/>
      <c r="C16" s="1164"/>
      <c r="D16" s="460"/>
      <c r="E16" s="189"/>
      <c r="F16" s="189"/>
      <c r="G16" s="189"/>
      <c r="H16" s="189"/>
      <c r="I16" s="189"/>
      <c r="J16" s="189"/>
      <c r="K16" s="189"/>
      <c r="L16" s="189"/>
      <c r="M16" s="518"/>
      <c r="N16" s="1644"/>
      <c r="O16" s="509"/>
      <c r="P16" s="509"/>
      <c r="Q16" s="516">
        <v>21</v>
      </c>
    </row>
    <row s="1827" customFormat="1" customHeight="1" ht="14.699999999999998">
      <c r="A17" s="1164"/>
      <c r="B17" s="1169"/>
      <c r="C17" s="1164"/>
      <c r="D17" s="460"/>
      <c r="E17" s="1164"/>
      <c r="F17" s="1164"/>
      <c r="G17" s="1164"/>
      <c r="H17" s="1164"/>
      <c r="I17" s="1164"/>
      <c r="J17" s="1164"/>
      <c r="K17" s="1164"/>
      <c r="L17" s="1164"/>
      <c r="M17" s="1164"/>
      <c r="N17" s="1640"/>
      <c r="O17" s="509"/>
      <c r="P17" s="509"/>
      <c r="Q17" s="516">
        <v>14</v>
      </c>
    </row>
    <row s="1827" customFormat="1" customHeight="1" ht="1.05">
      <c r="A18" s="1164"/>
      <c r="B18" s="1169"/>
      <c r="C18" s="1164"/>
      <c r="D18" s="460"/>
      <c r="E18" s="1164"/>
      <c r="F18" s="1164"/>
      <c r="G18" s="1164"/>
      <c r="H18" s="1164"/>
      <c r="I18" s="1164"/>
      <c r="J18" s="1164"/>
      <c r="K18" s="1164"/>
      <c r="L18" s="1164"/>
      <c r="M18" s="1164"/>
      <c r="N18" s="1640"/>
      <c r="O18" s="509"/>
      <c r="P18" s="509"/>
      <c r="Q18" s="516">
        <v>1</v>
      </c>
    </row>
    <row customHeight="1" ht="22.5" hidden="1">
      <c r="A19" s="1164" t="s">
        <v>83</v>
      </c>
      <c r="B19" s="1169">
        <v>0</v>
      </c>
      <c r="C19" s="1164">
        <v>0</v>
      </c>
      <c r="D19" s="460">
        <v>3</v>
      </c>
      <c r="E19" s="1164">
        <v>6</v>
      </c>
      <c r="F19" s="1164">
        <v>27</v>
      </c>
      <c r="G19" s="1164">
        <v>29</v>
      </c>
      <c r="H19" s="1164">
        <v>25</v>
      </c>
      <c r="I19" s="1164">
        <v>5</v>
      </c>
      <c r="J19" s="1164">
        <v>6</v>
      </c>
      <c r="K19" s="1164">
        <v>41</v>
      </c>
      <c r="L19" s="1164">
        <v>42</v>
      </c>
      <c r="M19" s="1164">
        <v>41</v>
      </c>
      <c r="N19" s="1640">
        <v>89</v>
      </c>
      <c r="O19" s="509">
        <v>3</v>
      </c>
      <c r="P19" s="509">
        <v>8</v>
      </c>
      <c r="Q19" s="1164">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2ADD69-08C5-AA8A-5C54-0.F556283D}"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7" width="9.140625" hidden="1"/>
    <col min="2" max="2" style="1831" width="9.140625" hidden="1"/>
    <col min="3" max="3" style="129" width="3.00390625" customWidth="1"/>
    <col min="4" max="4" style="1831" width="6.00390625" customWidth="1"/>
    <col min="5" max="5" style="1831" width="22.00390625" customWidth="1"/>
    <col min="6" max="6" style="1831" width="15.00390625" customWidth="1"/>
    <col min="7" max="7" style="1831" width="14.00390625" customWidth="1"/>
    <col min="8" max="8" style="1831" width="47.00390625" customWidth="1"/>
    <col min="9" max="9" style="1831" width="115.00390625" customWidth="1"/>
    <col min="10" max="10" style="1831" width="3.00390625" customWidth="1"/>
    <col min="11" max="12" style="1831" width="8.00390625" customWidth="1"/>
    <col min="13" max="13" style="1831" width="9.140625" hidden="1"/>
  </cols>
  <sheetData>
    <row customHeight="1" ht="14.25" hidden="1">
      <c r="M1" s="130" t="s">
        <v>14</v>
      </c>
    </row>
    <row customHeight="1" ht="14.25" hidden="1">
      <c r="M2" s="130">
        <v>0</v>
      </c>
    </row>
    <row customHeight="1" ht="14.25" hidden="1">
      <c r="M3" s="130">
        <v>0</v>
      </c>
    </row>
    <row customHeight="1" ht="3">
      <c r="M4" s="130">
        <v>3</v>
      </c>
    </row>
    <row s="1644" customFormat="1" customHeight="1" ht="31.5">
      <c r="A5" s="124"/>
      <c r="C5" s="99"/>
      <c r="D5" s="2128" t="s">
        <v>2125</v>
      </c>
      <c r="E5" s="2128"/>
      <c r="F5" s="2128"/>
      <c r="G5" s="2128"/>
      <c r="H5" s="2128"/>
      <c r="I5" s="274"/>
      <c r="M5" s="92">
        <v>30</v>
      </c>
    </row>
    <row customHeight="1" ht="3" hidden="1">
      <c r="D6" s="131"/>
      <c r="E6" s="131"/>
      <c r="F6" s="131"/>
      <c r="G6" s="131"/>
      <c r="H6" s="131"/>
      <c r="I6" s="131"/>
      <c r="M6" s="130">
        <v>0</v>
      </c>
    </row>
    <row s="367" customFormat="1" customHeight="1" ht="14.699999999999998">
      <c r="B7" s="128"/>
      <c r="C7" s="129"/>
      <c r="D7" s="132"/>
      <c r="E7" s="132"/>
      <c r="F7" s="132"/>
      <c r="G7" s="132"/>
      <c r="H7" s="761"/>
      <c r="I7" s="132"/>
      <c r="J7" s="133"/>
      <c r="M7" s="127">
        <v>14</v>
      </c>
    </row>
    <row customHeight="1" ht="14.699999999999998">
      <c r="D8" s="2237" t="s">
        <v>315</v>
      </c>
      <c r="E8" s="2237"/>
      <c r="F8" s="2237"/>
      <c r="G8" s="2237"/>
      <c r="H8" s="2237"/>
      <c r="I8" s="2237" t="s">
        <v>316</v>
      </c>
      <c r="M8" s="130">
        <v>14</v>
      </c>
    </row>
    <row customHeight="1" ht="29.25">
      <c r="D9" s="2237" t="s">
        <v>89</v>
      </c>
      <c r="E9" s="2237" t="s">
        <v>2126</v>
      </c>
      <c r="F9" s="2237"/>
      <c r="G9" s="2237"/>
      <c r="H9" s="2237"/>
      <c r="I9" s="2237"/>
      <c r="M9" s="130">
        <v>28</v>
      </c>
    </row>
    <row customHeight="1" ht="24">
      <c r="D10" s="2237"/>
      <c r="E10" s="136" t="s">
        <v>2127</v>
      </c>
      <c r="F10" s="136" t="s">
        <v>2128</v>
      </c>
      <c r="G10" s="136" t="s">
        <v>2129</v>
      </c>
      <c r="H10" s="136" t="s">
        <v>405</v>
      </c>
      <c r="I10" s="2237"/>
      <c r="M10" s="130">
        <v>23</v>
      </c>
    </row>
    <row customHeight="1" ht="12" hidden="1">
      <c r="D11" s="96" t="s">
        <v>118</v>
      </c>
      <c r="E11" s="96" t="s">
        <v>92</v>
      </c>
      <c r="F11" s="96" t="s">
        <v>119</v>
      </c>
      <c r="G11" s="96" t="s">
        <v>93</v>
      </c>
      <c r="H11" s="96" t="s">
        <v>94</v>
      </c>
      <c r="I11" s="96" t="s">
        <v>120</v>
      </c>
      <c r="M11" s="130">
        <v>0</v>
      </c>
    </row>
    <row s="1831" customFormat="1" customHeight="1" ht="26.25">
      <c r="A12" s="154" t="s">
        <v>91</v>
      </c>
      <c r="B12" s="134" t="s">
        <v>22</v>
      </c>
      <c r="C12" s="135"/>
      <c r="D12" s="137" t="s">
        <v>118</v>
      </c>
      <c r="E12" s="390"/>
      <c r="F12" s="390"/>
      <c r="G12" s="1742" t="s">
        <v>22</v>
      </c>
      <c r="H12" s="391"/>
      <c r="I12" s="2197" t="s">
        <v>2130</v>
      </c>
      <c r="K12" s="281"/>
      <c r="L12" s="282"/>
      <c r="M12" s="126">
        <v>25</v>
      </c>
    </row>
    <row customHeight="1" ht="15.75">
      <c r="A13" s="130"/>
      <c r="B13" s="130"/>
      <c r="C13" s="130"/>
      <c r="D13" s="118"/>
      <c r="E13" s="139" t="s">
        <v>479</v>
      </c>
      <c r="F13" s="138"/>
      <c r="G13" s="138"/>
      <c r="H13" s="223"/>
      <c r="I13" s="2199"/>
      <c r="M13" s="130">
        <v>15</v>
      </c>
    </row>
    <row customHeight="1" ht="3">
      <c r="A14" s="130"/>
      <c r="B14" s="130"/>
      <c r="C14" s="130"/>
      <c r="M14" s="130">
        <v>3</v>
      </c>
    </row>
    <row customHeight="1" ht="29.25">
      <c r="E15" s="2524" t="s">
        <v>2131</v>
      </c>
      <c r="F15" s="2524"/>
      <c r="G15" s="2524"/>
      <c r="H15" s="2524"/>
      <c r="M15" s="130">
        <v>28</v>
      </c>
    </row>
    <row customHeight="1" ht="14.25" hidden="1">
      <c r="A16" s="127" t="s">
        <v>83</v>
      </c>
      <c r="B16" s="128">
        <v>0</v>
      </c>
      <c r="C16" s="129">
        <v>3</v>
      </c>
      <c r="D16" s="130">
        <v>6</v>
      </c>
      <c r="E16" s="130">
        <v>22</v>
      </c>
      <c r="F16" s="130">
        <v>15</v>
      </c>
      <c r="G16" s="130">
        <v>14</v>
      </c>
      <c r="H16" s="130">
        <v>47</v>
      </c>
      <c r="I16" s="130">
        <v>115</v>
      </c>
      <c r="J16" s="130">
        <v>3</v>
      </c>
      <c r="K16" s="130">
        <v>8</v>
      </c>
      <c r="L16" s="130">
        <v>8</v>
      </c>
      <c r="M16" s="130">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424E09-6859-7D04-1321-0.6862DE22}"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73" width="9.140625" hidden="1"/>
    <col min="3" max="3" style="100" width="3.00390625" customWidth="1"/>
    <col min="4" max="4" style="273" width="6.00390625" customWidth="1"/>
    <col min="5" max="5" style="273" width="94.00390625" customWidth="1"/>
    <col min="6" max="9" style="273" width="8.00390625" customWidth="1"/>
    <col min="10" max="10" style="273" width="9.140625" hidden="1"/>
  </cols>
  <sheetData>
    <row customHeight="1" ht="14.25" hidden="1">
      <c r="J1" s="78" t="s">
        <v>14</v>
      </c>
    </row>
    <row customHeight="1" ht="14.25" hidden="1">
      <c r="J2" s="78">
        <v>0</v>
      </c>
    </row>
    <row customHeight="1" ht="14.25" hidden="1">
      <c r="J3" s="78">
        <v>0</v>
      </c>
    </row>
    <row customHeight="1" ht="14.25" hidden="1">
      <c r="J4" s="78">
        <v>0</v>
      </c>
    </row>
    <row customHeight="1" ht="14.25" hidden="1">
      <c r="J5" s="78">
        <v>0</v>
      </c>
    </row>
    <row customHeight="1" ht="3">
      <c r="C6" s="101"/>
      <c r="D6" s="79"/>
      <c r="E6" s="79"/>
      <c r="J6" s="78">
        <v>3</v>
      </c>
    </row>
    <row customHeight="1" ht="23.25">
      <c r="C7" s="101"/>
      <c r="D7" s="2525" t="s">
        <v>2132</v>
      </c>
      <c r="E7" s="2526"/>
      <c r="F7" s="276"/>
      <c r="J7" s="78">
        <v>22</v>
      </c>
    </row>
    <row customHeight="1" ht="3">
      <c r="C8" s="101"/>
      <c r="D8" s="79"/>
      <c r="E8" s="79"/>
      <c r="J8" s="78">
        <v>3</v>
      </c>
    </row>
    <row customHeight="1" ht="16.8">
      <c r="C9" s="101"/>
      <c r="D9" s="114" t="s">
        <v>89</v>
      </c>
      <c r="E9" s="269" t="s">
        <v>2133</v>
      </c>
      <c r="J9" s="78">
        <v>16</v>
      </c>
    </row>
    <row customHeight="1" ht="1.05">
      <c r="C10" s="101"/>
      <c r="D10" s="96"/>
      <c r="E10" s="96"/>
      <c r="J10" s="78">
        <v>1</v>
      </c>
    </row>
    <row customHeight="1" ht="11.25" hidden="1">
      <c r="C11" s="101"/>
      <c r="D11" s="159">
        <v>0</v>
      </c>
      <c r="E11" s="270"/>
      <c r="J11" s="78">
        <v>0</v>
      </c>
    </row>
    <row customHeight="1" ht="15.75">
      <c r="C12" s="145"/>
      <c r="D12" s="122">
        <v>1</v>
      </c>
      <c r="E12" s="386"/>
      <c r="J12" s="78">
        <v>15</v>
      </c>
    </row>
    <row customHeight="1" ht="12.75">
      <c r="C13" s="101"/>
      <c r="D13" s="271"/>
      <c r="E13" s="272" t="s">
        <v>2134</v>
      </c>
      <c r="J13" s="78">
        <v>12</v>
      </c>
    </row>
    <row customHeight="1" ht="3">
      <c r="J14" s="78">
        <v>3</v>
      </c>
    </row>
    <row customHeight="1" ht="23.25">
      <c r="C15" s="146"/>
      <c r="D15" s="2527" t="s">
        <v>2135</v>
      </c>
      <c r="E15" s="2527"/>
      <c r="F15" s="147"/>
      <c r="G15" s="147"/>
      <c r="H15" s="147"/>
      <c r="I15" s="147"/>
      <c r="J15" s="78">
        <v>22</v>
      </c>
    </row>
    <row customHeight="1" ht="14.25" hidden="1">
      <c r="A16" s="78" t="s">
        <v>83</v>
      </c>
      <c r="B16" s="78">
        <v>0</v>
      </c>
      <c r="C16" s="100">
        <v>3</v>
      </c>
      <c r="D16" s="78">
        <v>6</v>
      </c>
      <c r="E16" s="78">
        <v>94</v>
      </c>
      <c r="F16" s="78">
        <v>8</v>
      </c>
      <c r="G16" s="78">
        <v>8</v>
      </c>
      <c r="H16" s="78">
        <v>8</v>
      </c>
      <c r="I16" s="78">
        <v>8</v>
      </c>
      <c r="J16" s="78">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BDF52B-C6FE-D324-29D6-0.13791352}" mc:Ignorable="x14ac xr xr2 xr3">
  <sheetPr>
    <tabColor rgb="FFCCCCFF"/>
    <pageSetUpPr fitToPage="1"/>
  </sheetPr>
  <dimension ref="A1:M25"/>
  <sheetViews>
    <sheetView topLeftCell="C18" showGridLines="0" zoomScale="110" workbookViewId="0" tabSelected="1">
      <selection activeCell="E18" sqref="E18"/>
    </sheetView>
  </sheetViews>
  <sheetFormatPr defaultColWidth="9.140625" customHeight="1" defaultRowHeight="14.25"/>
  <cols>
    <col min="1" max="2" style="273" width="9.140625" hidden="1"/>
    <col min="3" max="3" style="100" width="3.00390625" customWidth="1"/>
    <col min="4" max="4" style="273" width="6.00390625" customWidth="1"/>
    <col min="5" max="5" style="273" width="94.00390625" customWidth="1"/>
    <col min="6" max="12" style="273" width="8.00390625" customWidth="1"/>
    <col min="13" max="13" style="273" width="9.140625" hidden="1"/>
  </cols>
  <sheetData>
    <row customHeight="1" ht="14.25" hidden="1">
      <c r="L1" s="273"/>
      <c r="M1" s="78" t="s">
        <v>14</v>
      </c>
    </row>
    <row customHeight="1" ht="14.25" hidden="1">
      <c r="M2" s="78">
        <v>0</v>
      </c>
    </row>
    <row customHeight="1" ht="14.25" hidden="1">
      <c r="M3" s="78">
        <v>0</v>
      </c>
    </row>
    <row customHeight="1" ht="14.25" hidden="1">
      <c r="M4" s="78">
        <v>0</v>
      </c>
    </row>
    <row customHeight="1" ht="14.25" hidden="1">
      <c r="M5" s="78">
        <v>0</v>
      </c>
    </row>
    <row customHeight="1" ht="3">
      <c r="C6" s="101"/>
      <c r="D6" s="79"/>
      <c r="E6" s="79"/>
      <c r="M6" s="78">
        <v>3</v>
      </c>
    </row>
    <row customHeight="1" ht="23.25">
      <c r="C7" s="101"/>
      <c r="D7" s="2128" t="s">
        <v>2136</v>
      </c>
      <c r="E7" s="2128"/>
      <c r="F7" s="276"/>
      <c r="M7" s="78">
        <v>22</v>
      </c>
    </row>
    <row customHeight="1" ht="3">
      <c r="C8" s="101"/>
      <c r="D8" s="79"/>
      <c r="E8" s="79"/>
      <c r="M8" s="78">
        <v>3</v>
      </c>
    </row>
    <row customHeight="1" ht="16.8">
      <c r="C9" s="101"/>
      <c r="D9" s="114" t="s">
        <v>89</v>
      </c>
      <c r="E9" s="117" t="s">
        <v>302</v>
      </c>
      <c r="M9" s="78">
        <v>16</v>
      </c>
    </row>
    <row customHeight="1" ht="12.75">
      <c r="C10" s="101"/>
      <c r="D10" s="96" t="s">
        <v>118</v>
      </c>
      <c r="E10" s="96" t="s">
        <v>103</v>
      </c>
      <c r="M10" s="78">
        <v>12</v>
      </c>
    </row>
    <row customHeight="1" ht="15" hidden="1">
      <c r="C11" s="101"/>
      <c r="D11" s="122">
        <v>0</v>
      </c>
      <c r="E11" s="158"/>
      <c r="M11" s="78">
        <v>0</v>
      </c>
    </row>
    <row customHeight="1" ht="144">
      <c r="A12" s="273"/>
      <c r="B12" s="273"/>
      <c r="C12" s="1825" t="s">
        <v>104</v>
      </c>
      <c r="D12" s="122" t="s">
        <v>118</v>
      </c>
      <c r="E12" s="123" t="s">
        <v>2137</v>
      </c>
      <c r="F12" s="273"/>
      <c r="G12" s="273"/>
      <c r="H12" s="273"/>
      <c r="I12" s="273"/>
      <c r="J12" s="273"/>
      <c r="K12" s="273"/>
      <c r="L12" s="273"/>
      <c r="M12" s="273"/>
    </row>
    <row customHeight="1" ht="118.5">
      <c r="A13" s="273"/>
      <c r="B13" s="273"/>
      <c r="C13" s="1825" t="s">
        <v>104</v>
      </c>
      <c r="D13" s="122" t="s">
        <v>103</v>
      </c>
      <c r="E13" s="123" t="s">
        <v>2138</v>
      </c>
      <c r="F13" s="273"/>
      <c r="G13" s="273"/>
      <c r="H13" s="273"/>
      <c r="I13" s="273"/>
      <c r="J13" s="273"/>
      <c r="K13" s="273"/>
      <c r="L13" s="273"/>
      <c r="M13" s="273"/>
    </row>
    <row customHeight="1" ht="101.25">
      <c r="A14" s="273"/>
      <c r="B14" s="273"/>
      <c r="C14" s="1825" t="s">
        <v>104</v>
      </c>
      <c r="D14" s="122" t="s">
        <v>91</v>
      </c>
      <c r="E14" s="123" t="s">
        <v>2139</v>
      </c>
      <c r="F14" s="273"/>
      <c r="G14" s="273"/>
      <c r="H14" s="273"/>
      <c r="I14" s="273"/>
      <c r="J14" s="273"/>
      <c r="K14" s="273"/>
      <c r="L14" s="273"/>
      <c r="M14" s="273"/>
    </row>
    <row customHeight="1" ht="56.25">
      <c r="A15" s="273"/>
      <c r="B15" s="273"/>
      <c r="C15" s="1825" t="s">
        <v>104</v>
      </c>
      <c r="D15" s="122" t="s">
        <v>92</v>
      </c>
      <c r="E15" s="123" t="s">
        <v>2140</v>
      </c>
      <c r="F15" s="273"/>
      <c r="G15" s="273"/>
      <c r="H15" s="273"/>
      <c r="I15" s="273"/>
      <c r="J15" s="273"/>
      <c r="K15" s="273"/>
      <c r="L15" s="273"/>
      <c r="M15" s="273"/>
    </row>
    <row customHeight="1" ht="101.25">
      <c r="A16" s="273"/>
      <c r="B16" s="273"/>
      <c r="C16" s="1825" t="s">
        <v>104</v>
      </c>
      <c r="D16" s="122" t="s">
        <v>119</v>
      </c>
      <c r="E16" s="123" t="s">
        <v>2141</v>
      </c>
      <c r="F16" s="273"/>
      <c r="G16" s="273"/>
      <c r="H16" s="273"/>
      <c r="I16" s="273"/>
      <c r="J16" s="273"/>
      <c r="K16" s="273"/>
      <c r="L16" s="273"/>
      <c r="M16" s="273"/>
    </row>
    <row customHeight="1" ht="80.25">
      <c r="A17" s="273"/>
      <c r="B17" s="273"/>
      <c r="C17" s="1825" t="s">
        <v>104</v>
      </c>
      <c r="D17" s="122" t="s">
        <v>93</v>
      </c>
      <c r="E17" s="123" t="s">
        <v>2142</v>
      </c>
      <c r="F17" s="273"/>
      <c r="G17" s="273"/>
      <c r="H17" s="273"/>
      <c r="I17" s="273"/>
      <c r="J17" s="273"/>
      <c r="K17" s="273"/>
      <c r="L17" s="273"/>
      <c r="M17" s="273"/>
    </row>
    <row customHeight="1" ht="93.75">
      <c r="A18" s="273"/>
      <c r="B18" s="273"/>
      <c r="C18" s="1825" t="s">
        <v>104</v>
      </c>
      <c r="D18" s="122" t="s">
        <v>94</v>
      </c>
      <c r="E18" s="123" t="s">
        <v>2143</v>
      </c>
      <c r="F18" s="273"/>
      <c r="G18" s="273"/>
      <c r="H18" s="273"/>
      <c r="I18" s="273"/>
      <c r="J18" s="273"/>
      <c r="K18" s="273"/>
      <c r="L18" s="273"/>
      <c r="M18" s="273"/>
    </row>
    <row customHeight="1" ht="72">
      <c r="A19" s="273"/>
      <c r="B19" s="273"/>
      <c r="C19" s="1825" t="s">
        <v>104</v>
      </c>
      <c r="D19" s="122" t="s">
        <v>120</v>
      </c>
      <c r="E19" s="123" t="s">
        <v>2144</v>
      </c>
      <c r="F19" s="273"/>
      <c r="G19" s="273"/>
      <c r="H19" s="273"/>
      <c r="I19" s="273"/>
      <c r="J19" s="273"/>
      <c r="K19" s="273"/>
      <c r="L19" s="273"/>
      <c r="M19" s="273"/>
    </row>
    <row customHeight="1" ht="64.5">
      <c r="A20" s="273"/>
      <c r="B20" s="273"/>
      <c r="C20" s="1825" t="s">
        <v>104</v>
      </c>
      <c r="D20" s="122" t="s">
        <v>165</v>
      </c>
      <c r="E20" s="123" t="s">
        <v>2145</v>
      </c>
      <c r="F20" s="273"/>
      <c r="G20" s="273"/>
      <c r="H20" s="273"/>
      <c r="I20" s="273"/>
      <c r="J20" s="273"/>
      <c r="K20" s="273"/>
      <c r="L20" s="273"/>
      <c r="M20" s="273"/>
    </row>
    <row customHeight="1" ht="126.75">
      <c r="A21" s="273"/>
      <c r="B21" s="273"/>
      <c r="C21" s="1825" t="s">
        <v>104</v>
      </c>
      <c r="D21" s="122" t="s">
        <v>166</v>
      </c>
      <c r="E21" s="123" t="s">
        <v>2146</v>
      </c>
      <c r="F21" s="273"/>
      <c r="G21" s="273"/>
      <c r="H21" s="273"/>
      <c r="I21" s="273"/>
      <c r="J21" s="273"/>
      <c r="K21" s="273"/>
      <c r="L21" s="273"/>
      <c r="M21" s="273"/>
    </row>
    <row customHeight="1" ht="81">
      <c r="A22" s="273"/>
      <c r="B22" s="273"/>
      <c r="C22" s="1825" t="s">
        <v>104</v>
      </c>
      <c r="D22" s="122" t="s">
        <v>167</v>
      </c>
      <c r="E22" s="123" t="s">
        <v>2147</v>
      </c>
      <c r="F22" s="273"/>
      <c r="G22" s="273"/>
      <c r="H22" s="273"/>
      <c r="I22" s="273"/>
      <c r="J22" s="273"/>
      <c r="K22" s="273"/>
      <c r="L22" s="273"/>
      <c r="M22" s="273"/>
    </row>
    <row customHeight="1" ht="58.5">
      <c r="A23" s="273"/>
      <c r="B23" s="273"/>
      <c r="C23" s="1825" t="s">
        <v>104</v>
      </c>
      <c r="D23" s="122" t="s">
        <v>168</v>
      </c>
      <c r="E23" s="123" t="s">
        <v>2148</v>
      </c>
      <c r="F23" s="273"/>
      <c r="G23" s="273"/>
      <c r="H23" s="273"/>
      <c r="I23" s="273"/>
      <c r="J23" s="273"/>
      <c r="K23" s="273"/>
      <c r="L23" s="273"/>
      <c r="M23" s="273"/>
    </row>
    <row customHeight="1" ht="14.699999999999998">
      <c r="C24" s="101"/>
      <c r="D24" s="118"/>
      <c r="E24" s="116" t="s">
        <v>2134</v>
      </c>
      <c r="M24" s="78">
        <v>14</v>
      </c>
    </row>
    <row customHeight="1" ht="14.25" hidden="1">
      <c r="A25" s="78" t="s">
        <v>83</v>
      </c>
      <c r="B25" s="78">
        <v>0</v>
      </c>
      <c r="C25" s="100">
        <v>3</v>
      </c>
      <c r="D25" s="78">
        <v>6</v>
      </c>
      <c r="E25" s="78">
        <v>94</v>
      </c>
      <c r="F25" s="78">
        <v>8</v>
      </c>
      <c r="G25" s="78">
        <v>8</v>
      </c>
      <c r="H25" s="78">
        <v>8</v>
      </c>
      <c r="I25" s="78">
        <v>8</v>
      </c>
      <c r="J25" s="78">
        <v>8</v>
      </c>
      <c r="K25" s="78">
        <v>8</v>
      </c>
      <c r="L25" s="78">
        <v>8</v>
      </c>
      <c r="M25" s="78">
        <v>14</v>
      </c>
    </row>
  </sheetData>
  <sheetProtection sheet="1" formatColumns="0" formatRows="0" autoFilter="0" sort="1" insertRows="1" insertColumns="1" deleteRows="1" deleteColumns="1"/>
  <mergeCells count="1">
    <mergeCell ref="D7:E7"/>
  </mergeCells>
  <dataValidations count="13">
    <dataValidation type="textLength" operator="lessThanOrEqual" allowBlank="1" showInputMessage="1" showErrorMessage="1" errorTitle="Ошибка" error="Допускается ввод не более 900 символов!" sqref="E23">
      <formula1>900</formula1>
    </dataValidation>
    <dataValidation type="textLength" operator="lessThanOrEqual" allowBlank="1" showInputMessage="1" showErrorMessage="1" errorTitle="Ошибка" error="Допускается ввод не более 900 символов!" sqref="E22">
      <formula1>900</formula1>
    </dataValidation>
    <dataValidation type="textLength" operator="lessThanOrEqual" allowBlank="1" showInputMessage="1" showErrorMessage="1" errorTitle="Ошибка" error="Допускается ввод не более 900 символов!" sqref="E21">
      <formula1>900</formula1>
    </dataValidation>
    <dataValidation type="textLength" operator="lessThanOrEqual" allowBlank="1" showInputMessage="1" showErrorMessage="1" errorTitle="Ошибка" error="Допускается ввод не более 900 символов!" sqref="E20">
      <formula1>900</formula1>
    </dataValidation>
    <dataValidation type="textLength" operator="lessThanOrEqual" allowBlank="1" showInputMessage="1" showErrorMessage="1" errorTitle="Ошибка" error="Допускается ввод не более 900 символов!" sqref="E19">
      <formula1>900</formula1>
    </dataValidation>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2EFA11-F9FC-4D51-3FC9-0.2F7E747B}"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6" width="9.140625" hidden="1"/>
    <col min="3" max="4" style="1856" width="3.00390625" customWidth="1"/>
    <col min="5" max="6" style="1856" width="15.00390625" customWidth="1"/>
    <col min="7" max="7" style="1856" width="11.57421875" customWidth="1"/>
    <col min="8" max="9" style="1856" width="3.00390625" customWidth="1"/>
    <col min="10" max="10" style="1856" width="12.00390625" customWidth="1"/>
    <col min="11" max="11" style="1856" width="0.28125" customWidth="1"/>
    <col min="12" max="13" style="1856" width="10.00390625" customWidth="1"/>
    <col min="14" max="15" style="1856" width="3.00390625" customWidth="1"/>
    <col min="16" max="16" style="1856" width="19.00390625" customWidth="1"/>
    <col min="17" max="17" style="1856" width="0.28125" customWidth="1"/>
    <col min="18" max="19" style="1856" width="10.00390625" customWidth="1"/>
    <col min="20" max="21" style="1856" width="3.00390625" customWidth="1"/>
    <col min="22" max="22" style="1856" width="25.00390625" customWidth="1"/>
    <col min="23" max="23" style="1856" width="0.28125" customWidth="1"/>
    <col min="24" max="25" style="1856" width="10.00390625" customWidth="1"/>
    <col min="26" max="27" style="1856" width="3.00390625" customWidth="1"/>
    <col min="28" max="28" style="1856" width="16.00390625" customWidth="1"/>
    <col min="29" max="29" style="1856" width="0.28125" customWidth="1"/>
    <col min="30" max="31" style="1856" width="10.00390625" customWidth="1"/>
    <col min="32" max="33" style="1856" width="3.00390625" customWidth="1"/>
    <col min="34" max="34" style="1856" width="8.00390625" customWidth="1"/>
    <col min="35" max="35" style="1856" width="21.00390625" customWidth="1"/>
    <col min="36" max="36" style="1856" width="8.00390625" customWidth="1"/>
    <col min="37" max="37" style="367" width="8.00390625" customWidth="1"/>
    <col min="38" max="64" style="1856" width="8.00390625" customWidth="1"/>
    <col min="65" max="65" style="1856" width="9.140625" hidden="1"/>
  </cols>
  <sheetData>
    <row s="1325" customFormat="1" customHeight="1" ht="11.25" hidden="1">
      <c r="AJ1" s="431"/>
      <c r="AK1" s="431"/>
      <c r="AL1" s="431"/>
      <c r="AM1" s="431"/>
      <c r="AN1" s="431"/>
      <c r="AO1" s="431"/>
      <c r="AP1" s="431"/>
      <c r="AQ1" s="431"/>
      <c r="AR1" s="431"/>
      <c r="AS1" s="431"/>
      <c r="AT1" s="431"/>
      <c r="AU1" s="431"/>
      <c r="AV1" s="431"/>
      <c r="AW1" s="431"/>
      <c r="AX1" s="431"/>
      <c r="AY1" s="431"/>
      <c r="AZ1" s="431"/>
      <c r="BA1" s="431"/>
      <c r="BB1" s="431"/>
      <c r="BC1" s="431"/>
      <c r="BD1" s="431"/>
      <c r="BE1" s="431"/>
      <c r="BF1" s="431"/>
      <c r="BG1" s="431"/>
      <c r="BH1" s="431"/>
      <c r="BI1" s="431"/>
      <c r="BJ1" s="431"/>
      <c r="BK1" s="431"/>
      <c r="BL1" s="431"/>
      <c r="BM1" s="428" t="s">
        <v>14</v>
      </c>
    </row>
    <row s="1562" customFormat="1" customHeight="1" ht="11.25" hidden="1">
      <c r="L2" s="1562" t="s">
        <v>294</v>
      </c>
      <c r="M2" s="1562" t="s">
        <v>295</v>
      </c>
      <c r="R2" s="1562" t="s">
        <v>296</v>
      </c>
      <c r="S2" s="1562" t="s">
        <v>295</v>
      </c>
      <c r="X2" s="1562" t="s">
        <v>294</v>
      </c>
      <c r="Y2" s="1562" t="s">
        <v>295</v>
      </c>
      <c r="AD2" s="1562" t="s">
        <v>294</v>
      </c>
      <c r="AE2" s="1562" t="s">
        <v>295</v>
      </c>
      <c r="AJ2" s="1584"/>
      <c r="AK2" s="1584"/>
      <c r="AL2" s="1584"/>
      <c r="AM2" s="1584"/>
      <c r="AN2" s="1584"/>
      <c r="AO2" s="1584"/>
      <c r="AP2" s="1584"/>
      <c r="AQ2" s="1584"/>
      <c r="AR2" s="1584"/>
      <c r="AS2" s="1584"/>
      <c r="AT2" s="1584"/>
      <c r="AU2" s="1584"/>
      <c r="AV2" s="1584"/>
      <c r="AW2" s="1584"/>
      <c r="AX2" s="1584"/>
      <c r="AY2" s="1584"/>
      <c r="AZ2" s="1584"/>
      <c r="BA2" s="1584"/>
      <c r="BB2" s="1584"/>
      <c r="BC2" s="1584"/>
      <c r="BD2" s="1584"/>
      <c r="BE2" s="1584"/>
      <c r="BF2" s="1584"/>
      <c r="BG2" s="1584"/>
      <c r="BH2" s="1584"/>
      <c r="BI2" s="1584"/>
      <c r="BJ2" s="1584"/>
      <c r="BK2" s="1584"/>
      <c r="BL2" s="1584"/>
      <c r="BM2" s="1562">
        <v>0</v>
      </c>
    </row>
    <row s="1563" customFormat="1" customHeight="1" ht="11.549999999999999">
      <c r="AJ3" s="1583"/>
      <c r="AK3" s="315"/>
      <c r="AL3" s="1583"/>
      <c r="AM3" s="1583"/>
      <c r="AN3" s="1583"/>
      <c r="AO3" s="1583"/>
      <c r="AP3" s="1583"/>
      <c r="AQ3" s="1583"/>
      <c r="AR3" s="1583"/>
      <c r="AS3" s="1583"/>
      <c r="AT3" s="1583"/>
      <c r="AU3" s="1583"/>
      <c r="AV3" s="1583"/>
      <c r="AW3" s="1583"/>
      <c r="AX3" s="1583"/>
      <c r="AY3" s="1583"/>
      <c r="AZ3" s="1583"/>
      <c r="BA3" s="1583"/>
      <c r="BB3" s="1583"/>
      <c r="BC3" s="1583"/>
      <c r="BD3" s="1583"/>
      <c r="BE3" s="1583"/>
      <c r="BF3" s="1583"/>
      <c r="BG3" s="1583"/>
      <c r="BH3" s="1583"/>
      <c r="BI3" s="1583"/>
      <c r="BJ3" s="1583"/>
      <c r="BK3" s="1583"/>
      <c r="BL3" s="1583"/>
      <c r="BM3" s="1563">
        <v>11</v>
      </c>
    </row>
    <row s="1827" customFormat="1" customHeight="1" ht="34.5">
      <c r="A4" s="1165"/>
      <c r="B4" s="1164"/>
      <c r="C4" s="1524"/>
      <c r="D4" s="2219" t="s">
        <v>297</v>
      </c>
      <c r="E4" s="2219"/>
      <c r="F4" s="2219"/>
      <c r="G4" s="2219"/>
      <c r="H4" s="2219"/>
      <c r="I4" s="2219"/>
      <c r="J4" s="2219"/>
      <c r="K4" s="708"/>
      <c r="T4" s="1564"/>
      <c r="AJ4" s="1585"/>
      <c r="AK4" s="1586"/>
      <c r="AL4" s="1585"/>
      <c r="AM4" s="1585"/>
      <c r="AN4" s="1585"/>
      <c r="AO4" s="1585"/>
      <c r="AP4" s="1585"/>
      <c r="AQ4" s="1585"/>
      <c r="AR4" s="1585"/>
      <c r="AS4" s="1585"/>
      <c r="AT4" s="1585"/>
      <c r="AU4" s="1585"/>
      <c r="AV4" s="1585"/>
      <c r="AW4" s="1585"/>
      <c r="AX4" s="1585"/>
      <c r="AY4" s="1585"/>
      <c r="AZ4" s="1585"/>
      <c r="BA4" s="1585"/>
      <c r="BB4" s="1585"/>
      <c r="BC4" s="1585"/>
      <c r="BD4" s="1585"/>
      <c r="BE4" s="1585"/>
      <c r="BF4" s="1585"/>
      <c r="BG4" s="1585"/>
      <c r="BH4" s="1585"/>
      <c r="BI4" s="1585"/>
      <c r="BJ4" s="1585"/>
      <c r="BK4" s="1585"/>
      <c r="BL4" s="1585"/>
      <c r="BM4" s="516">
        <v>33</v>
      </c>
    </row>
    <row s="1827" customFormat="1" customHeight="1" ht="14.699999999999998">
      <c r="A5" s="1641"/>
      <c r="B5" s="1640"/>
      <c r="C5" s="1524"/>
      <c r="D5" s="2204" t="str">
        <f>IF(org=0,"Не определено",org)</f>
        <v>АО "ДГК"</v>
      </c>
      <c r="E5" s="2204"/>
      <c r="F5" s="2204"/>
      <c r="G5" s="2204"/>
      <c r="H5" s="2204"/>
      <c r="I5" s="2204"/>
      <c r="J5" s="2204"/>
      <c r="K5" s="708"/>
      <c r="T5" s="1564"/>
      <c r="AJ5" s="1585"/>
      <c r="AK5" s="1586"/>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618">
        <v>14</v>
      </c>
    </row>
    <row s="1827" customFormat="1" customHeight="1" ht="14.699999999999998">
      <c r="A6" s="1165"/>
      <c r="B6" s="1164"/>
      <c r="C6" s="1524"/>
      <c r="D6" s="708"/>
      <c r="E6" s="708"/>
      <c r="F6" s="708"/>
      <c r="G6" s="708"/>
      <c r="H6" s="708"/>
      <c r="I6" s="708"/>
      <c r="J6" s="708"/>
      <c r="K6" s="708"/>
      <c r="T6" s="1564"/>
      <c r="AJ6" s="1585"/>
      <c r="AK6" s="1586"/>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516">
        <v>14</v>
      </c>
    </row>
    <row s="1325" customFormat="1" customHeight="1" ht="1.05">
      <c r="AJ7" s="431"/>
      <c r="AK7" s="431"/>
      <c r="AL7" s="431"/>
      <c r="AM7" s="431"/>
      <c r="AN7" s="431"/>
      <c r="AO7" s="431"/>
      <c r="AP7" s="431"/>
      <c r="AQ7" s="431"/>
      <c r="AR7" s="431"/>
      <c r="AS7" s="431"/>
      <c r="AT7" s="431"/>
      <c r="AU7" s="431"/>
      <c r="AV7" s="431"/>
      <c r="AW7" s="431"/>
      <c r="AX7" s="431"/>
      <c r="AY7" s="431"/>
      <c r="AZ7" s="431"/>
      <c r="BA7" s="431"/>
      <c r="BB7" s="431"/>
      <c r="BC7" s="431"/>
      <c r="BD7" s="431"/>
      <c r="BE7" s="431"/>
      <c r="BF7" s="431"/>
      <c r="BG7" s="431"/>
      <c r="BH7" s="431"/>
      <c r="BI7" s="431"/>
      <c r="BJ7" s="431"/>
      <c r="BK7" s="431"/>
      <c r="BL7" s="431"/>
      <c r="BM7" s="428">
        <v>1</v>
      </c>
    </row>
    <row customHeight="1" ht="33.75">
      <c r="D8" s="2155" t="s">
        <v>89</v>
      </c>
      <c r="E8" s="2155" t="s">
        <v>114</v>
      </c>
      <c r="F8" s="2220" t="s">
        <v>139</v>
      </c>
      <c r="G8" s="2221"/>
      <c r="H8" s="2220" t="s">
        <v>89</v>
      </c>
      <c r="I8" s="2221"/>
      <c r="J8" s="2155" t="s">
        <v>140</v>
      </c>
      <c r="K8" s="1565"/>
      <c r="L8" s="2224" t="s">
        <v>298</v>
      </c>
      <c r="M8" s="2224"/>
      <c r="N8" s="2224"/>
      <c r="O8" s="2224"/>
      <c r="P8" s="2224"/>
      <c r="Q8" s="1566"/>
      <c r="R8" s="2124" t="s">
        <v>299</v>
      </c>
      <c r="S8" s="2225"/>
      <c r="T8" s="2225"/>
      <c r="U8" s="2225"/>
      <c r="V8" s="2225"/>
      <c r="W8" s="1566"/>
      <c r="X8" s="2226" t="s">
        <v>300</v>
      </c>
      <c r="Y8" s="2226"/>
      <c r="Z8" s="2226"/>
      <c r="AA8" s="2226"/>
      <c r="AB8" s="2226"/>
      <c r="AC8" s="1567"/>
      <c r="AD8" s="2155" t="s">
        <v>301</v>
      </c>
      <c r="AE8" s="2155"/>
      <c r="AF8" s="2155"/>
      <c r="AG8" s="2155"/>
      <c r="AH8" s="2129"/>
      <c r="AI8" s="2155" t="s">
        <v>302</v>
      </c>
      <c r="AJ8" s="1583"/>
      <c r="BM8" s="302">
        <v>32</v>
      </c>
    </row>
    <row customHeight="1" ht="23.25">
      <c r="D9" s="2155"/>
      <c r="E9" s="2155"/>
      <c r="F9" s="2203" t="s">
        <v>90</v>
      </c>
      <c r="G9" s="2203" t="s">
        <v>145</v>
      </c>
      <c r="H9" s="2222"/>
      <c r="I9" s="2223"/>
      <c r="J9" s="2129"/>
      <c r="K9" s="1568"/>
      <c r="L9" s="2155" t="s">
        <v>303</v>
      </c>
      <c r="M9" s="2129"/>
      <c r="N9" s="2220" t="s">
        <v>89</v>
      </c>
      <c r="O9" s="2221"/>
      <c r="P9" s="2155" t="s">
        <v>146</v>
      </c>
      <c r="Q9" s="1565"/>
      <c r="R9" s="2155" t="s">
        <v>303</v>
      </c>
      <c r="S9" s="2129"/>
      <c r="T9" s="2220" t="s">
        <v>89</v>
      </c>
      <c r="U9" s="2221"/>
      <c r="V9" s="2155" t="s">
        <v>146</v>
      </c>
      <c r="W9" s="1565"/>
      <c r="X9" s="2155" t="s">
        <v>303</v>
      </c>
      <c r="Y9" s="2129"/>
      <c r="Z9" s="2220" t="s">
        <v>89</v>
      </c>
      <c r="AA9" s="2221"/>
      <c r="AB9" s="2155" t="s">
        <v>304</v>
      </c>
      <c r="AC9" s="1565"/>
      <c r="AD9" s="2155" t="s">
        <v>303</v>
      </c>
      <c r="AE9" s="2129"/>
      <c r="AF9" s="2220" t="s">
        <v>89</v>
      </c>
      <c r="AG9" s="2221"/>
      <c r="AH9" s="2129" t="s">
        <v>304</v>
      </c>
      <c r="AI9" s="2155"/>
      <c r="AJ9" s="1583"/>
      <c r="BM9" s="302">
        <v>22</v>
      </c>
    </row>
    <row customHeight="1" ht="24">
      <c r="D10" s="2203"/>
      <c r="E10" s="2203"/>
      <c r="F10" s="2227"/>
      <c r="G10" s="2227"/>
      <c r="H10" s="2228"/>
      <c r="I10" s="2229"/>
      <c r="J10" s="2220"/>
      <c r="K10" s="1568"/>
      <c r="L10" s="1587" t="s">
        <v>305</v>
      </c>
      <c r="M10" s="1582" t="s">
        <v>306</v>
      </c>
      <c r="N10" s="2222"/>
      <c r="O10" s="2223"/>
      <c r="P10" s="2203"/>
      <c r="Q10" s="1565"/>
      <c r="R10" s="1587" t="s">
        <v>305</v>
      </c>
      <c r="S10" s="1582" t="s">
        <v>306</v>
      </c>
      <c r="T10" s="2222"/>
      <c r="U10" s="2223"/>
      <c r="V10" s="2203"/>
      <c r="W10" s="1565"/>
      <c r="X10" s="1587" t="s">
        <v>305</v>
      </c>
      <c r="Y10" s="1582" t="s">
        <v>306</v>
      </c>
      <c r="Z10" s="2222"/>
      <c r="AA10" s="2223"/>
      <c r="AB10" s="2203"/>
      <c r="AC10" s="1565"/>
      <c r="AD10" s="1587" t="s">
        <v>305</v>
      </c>
      <c r="AE10" s="1582" t="s">
        <v>306</v>
      </c>
      <c r="AF10" s="2222"/>
      <c r="AG10" s="2223"/>
      <c r="AH10" s="2220"/>
      <c r="AI10" s="2203"/>
      <c r="AJ10" s="1583"/>
      <c r="AK10" s="263" t="s">
        <v>307</v>
      </c>
      <c r="AL10" s="263" t="s">
        <v>147</v>
      </c>
      <c r="BM10" s="302">
        <v>23</v>
      </c>
    </row>
    <row customHeight="1" ht="15">
      <c r="D11" s="2211" t="s">
        <v>118</v>
      </c>
      <c r="E11" s="2207" t="s">
        <v>308</v>
      </c>
      <c r="F11" s="2207" t="s">
        <v>309</v>
      </c>
      <c r="G11" s="2213" t="s">
        <v>19</v>
      </c>
      <c r="H11" s="1608"/>
      <c r="I11" s="2209"/>
      <c r="J11" s="2180"/>
      <c r="K11" s="1523"/>
      <c r="L11" s="2165"/>
      <c r="M11" s="2165"/>
      <c r="N11" s="1593"/>
      <c r="O11" s="2165"/>
      <c r="P11" s="2180"/>
      <c r="Q11" s="1594"/>
      <c r="R11" s="2165"/>
      <c r="S11" s="2165"/>
      <c r="T11" s="1595"/>
      <c r="U11" s="2165"/>
      <c r="V11" s="2180"/>
      <c r="W11" s="1596"/>
      <c r="X11" s="2165"/>
      <c r="Y11" s="2165"/>
      <c r="Z11" s="1593"/>
      <c r="AA11" s="2165"/>
      <c r="AB11" s="2180"/>
      <c r="AC11" s="1597"/>
      <c r="AD11" s="2165"/>
      <c r="AE11" s="2165"/>
      <c r="AF11" s="1522"/>
      <c r="AG11" s="1522"/>
      <c r="AH11" s="1598"/>
      <c r="AI11" s="1305"/>
      <c r="AJ11" s="1583"/>
      <c r="BM11" s="302">
        <v>14</v>
      </c>
    </row>
    <row customHeight="1" ht="14.699999999999998">
      <c r="D12" s="2211"/>
      <c r="E12" s="2207"/>
      <c r="F12" s="2207"/>
      <c r="G12" s="2214"/>
      <c r="H12" s="1609"/>
      <c r="I12" s="2210"/>
      <c r="J12" s="2181"/>
      <c r="K12" s="1619"/>
      <c r="L12" s="2166"/>
      <c r="M12" s="2166"/>
      <c r="N12" s="1599"/>
      <c r="O12" s="2166"/>
      <c r="P12" s="2181"/>
      <c r="Q12" s="1600"/>
      <c r="R12" s="2166"/>
      <c r="S12" s="2166"/>
      <c r="T12" s="1601"/>
      <c r="U12" s="2166"/>
      <c r="V12" s="2181"/>
      <c r="W12" s="1602"/>
      <c r="X12" s="2166"/>
      <c r="Y12" s="2166"/>
      <c r="Z12" s="1599"/>
      <c r="AA12" s="2166"/>
      <c r="AB12" s="2181"/>
      <c r="AC12" s="1603"/>
      <c r="AD12" s="2166"/>
      <c r="AE12" s="2166"/>
      <c r="AF12" s="1604"/>
      <c r="AG12" s="1604"/>
      <c r="AH12" s="2205"/>
      <c r="AI12" s="2206"/>
      <c r="AJ12" s="1583"/>
      <c r="BM12" s="302">
        <v>14</v>
      </c>
    </row>
    <row customHeight="1" ht="14.699999999999998">
      <c r="D13" s="2211"/>
      <c r="E13" s="2207"/>
      <c r="F13" s="2207"/>
      <c r="G13" s="2214"/>
      <c r="H13" s="1609"/>
      <c r="I13" s="2210"/>
      <c r="J13" s="2181"/>
      <c r="K13" s="1619"/>
      <c r="L13" s="2166"/>
      <c r="M13" s="2166"/>
      <c r="N13" s="1599"/>
      <c r="O13" s="2166"/>
      <c r="P13" s="2181"/>
      <c r="Q13" s="1600"/>
      <c r="R13" s="2166"/>
      <c r="S13" s="2166"/>
      <c r="T13" s="1601"/>
      <c r="U13" s="2166"/>
      <c r="V13" s="2181"/>
      <c r="W13" s="1602"/>
      <c r="X13" s="2166"/>
      <c r="Y13" s="2166"/>
      <c r="Z13" s="1521"/>
      <c r="AA13" s="1604"/>
      <c r="AB13" s="2205"/>
      <c r="AC13" s="2205"/>
      <c r="AD13" s="2205"/>
      <c r="AE13" s="2205"/>
      <c r="AF13" s="2205"/>
      <c r="AG13" s="2205"/>
      <c r="AH13" s="2205"/>
      <c r="AI13" s="2206"/>
      <c r="AJ13" s="1583"/>
      <c r="BM13" s="302">
        <v>14</v>
      </c>
    </row>
    <row customHeight="1" ht="14.699999999999998">
      <c r="D14" s="2211"/>
      <c r="E14" s="2207"/>
      <c r="F14" s="2207"/>
      <c r="G14" s="2214"/>
      <c r="H14" s="1609"/>
      <c r="I14" s="2210"/>
      <c r="J14" s="2181"/>
      <c r="K14" s="1619"/>
      <c r="L14" s="2166"/>
      <c r="M14" s="2166"/>
      <c r="N14" s="1599"/>
      <c r="O14" s="2166"/>
      <c r="P14" s="2181"/>
      <c r="Q14" s="1600"/>
      <c r="R14" s="2166"/>
      <c r="S14" s="2166"/>
      <c r="T14" s="1605"/>
      <c r="U14" s="1606"/>
      <c r="V14" s="2205"/>
      <c r="W14" s="2205"/>
      <c r="X14" s="2205"/>
      <c r="Y14" s="2205"/>
      <c r="Z14" s="2205"/>
      <c r="AA14" s="2205"/>
      <c r="AB14" s="2205"/>
      <c r="AC14" s="2205"/>
      <c r="AD14" s="2205"/>
      <c r="AE14" s="2205"/>
      <c r="AF14" s="2205"/>
      <c r="AG14" s="2205"/>
      <c r="AH14" s="2205"/>
      <c r="AI14" s="2206"/>
      <c r="AJ14" s="1583"/>
      <c r="BM14" s="302">
        <v>14</v>
      </c>
    </row>
    <row customHeight="1" ht="11.549999999999999">
      <c r="D15" s="2211"/>
      <c r="E15" s="2207"/>
      <c r="F15" s="2207"/>
      <c r="G15" s="2214"/>
      <c r="H15" s="1610"/>
      <c r="I15" s="2210"/>
      <c r="J15" s="2181"/>
      <c r="K15" s="1619"/>
      <c r="L15" s="2166"/>
      <c r="M15" s="2166"/>
      <c r="N15" s="1604"/>
      <c r="O15" s="1604"/>
      <c r="P15" s="2205"/>
      <c r="Q15" s="2205"/>
      <c r="R15" s="2205"/>
      <c r="S15" s="2205"/>
      <c r="T15" s="2205"/>
      <c r="U15" s="2205"/>
      <c r="V15" s="2205"/>
      <c r="W15" s="2205"/>
      <c r="X15" s="2205"/>
      <c r="Y15" s="2205"/>
      <c r="Z15" s="2205"/>
      <c r="AA15" s="2205"/>
      <c r="AB15" s="2205"/>
      <c r="AC15" s="2205"/>
      <c r="AD15" s="2205"/>
      <c r="AE15" s="2205"/>
      <c r="AF15" s="2205"/>
      <c r="AG15" s="2205"/>
      <c r="AH15" s="2205"/>
      <c r="AI15" s="2206"/>
      <c r="AJ15" s="1583"/>
      <c r="BM15" s="302">
        <v>11</v>
      </c>
    </row>
    <row s="1563" customFormat="1" customHeight="1" ht="11.549999999999999">
      <c r="D16" s="2217"/>
      <c r="E16" s="2218"/>
      <c r="F16" s="2208"/>
      <c r="G16" s="2140"/>
      <c r="H16" s="1607"/>
      <c r="I16" s="1611"/>
      <c r="J16" s="2215"/>
      <c r="K16" s="2215"/>
      <c r="L16" s="2215"/>
      <c r="M16" s="2215"/>
      <c r="N16" s="2215"/>
      <c r="O16" s="2215"/>
      <c r="P16" s="2215"/>
      <c r="Q16" s="2215"/>
      <c r="R16" s="2215"/>
      <c r="S16" s="2215"/>
      <c r="T16" s="2215"/>
      <c r="U16" s="2215"/>
      <c r="V16" s="2215"/>
      <c r="W16" s="2215"/>
      <c r="X16" s="2215"/>
      <c r="Y16" s="2215"/>
      <c r="Z16" s="2215"/>
      <c r="AA16" s="2215"/>
      <c r="AB16" s="2215"/>
      <c r="AC16" s="2215"/>
      <c r="AD16" s="2215"/>
      <c r="AE16" s="2215"/>
      <c r="AF16" s="2215"/>
      <c r="AG16" s="2215"/>
      <c r="AH16" s="2215"/>
      <c r="AI16" s="2216"/>
      <c r="AJ16" s="1583"/>
      <c r="AK16" s="315"/>
      <c r="AL16" s="1583"/>
      <c r="AM16" s="1583"/>
      <c r="AN16" s="1583"/>
      <c r="AO16" s="1583"/>
      <c r="AP16" s="1583"/>
      <c r="AQ16" s="1583"/>
      <c r="AR16" s="1583"/>
      <c r="AS16" s="1583"/>
      <c r="AT16" s="1583"/>
      <c r="AU16" s="1583"/>
      <c r="AV16" s="1583"/>
      <c r="AW16" s="1583"/>
      <c r="AX16" s="1583"/>
      <c r="AY16" s="1583"/>
      <c r="AZ16" s="1583"/>
      <c r="BA16" s="1583"/>
      <c r="BB16" s="1583"/>
      <c r="BC16" s="1583"/>
      <c r="BD16" s="1583"/>
      <c r="BE16" s="1583"/>
      <c r="BF16" s="1583"/>
      <c r="BG16" s="1583"/>
      <c r="BH16" s="1583"/>
      <c r="BI16" s="1583"/>
      <c r="BJ16" s="1583"/>
      <c r="BK16" s="1583"/>
      <c r="BL16" s="1583"/>
      <c r="BM16" s="1563">
        <v>11</v>
      </c>
    </row>
    <row customHeight="1" ht="15">
      <c r="D17" s="2211" t="s">
        <v>103</v>
      </c>
      <c r="E17" s="2207" t="s">
        <v>308</v>
      </c>
      <c r="F17" s="2207" t="s">
        <v>310</v>
      </c>
      <c r="G17" s="2213" t="s">
        <v>19</v>
      </c>
      <c r="H17" s="1608"/>
      <c r="I17" s="2209"/>
      <c r="J17" s="2180"/>
      <c r="K17" s="1523"/>
      <c r="L17" s="2165"/>
      <c r="M17" s="2165"/>
      <c r="N17" s="1593"/>
      <c r="O17" s="2165"/>
      <c r="P17" s="2180"/>
      <c r="Q17" s="1594"/>
      <c r="R17" s="2165"/>
      <c r="S17" s="2165"/>
      <c r="T17" s="1595"/>
      <c r="U17" s="2165"/>
      <c r="V17" s="2180"/>
      <c r="W17" s="1596"/>
      <c r="X17" s="2165"/>
      <c r="Y17" s="2165"/>
      <c r="Z17" s="1593"/>
      <c r="AA17" s="2165"/>
      <c r="AB17" s="2180"/>
      <c r="AC17" s="1597"/>
      <c r="AD17" s="2165"/>
      <c r="AE17" s="2165"/>
      <c r="AF17" s="1522"/>
      <c r="AG17" s="1522"/>
      <c r="AH17" s="1598"/>
      <c r="AI17" s="1305"/>
      <c r="AJ17" s="1583"/>
      <c r="BM17" s="302">
        <v>14</v>
      </c>
    </row>
    <row customHeight="1" ht="14.699999999999998">
      <c r="D18" s="2211"/>
      <c r="E18" s="2207"/>
      <c r="F18" s="2207"/>
      <c r="G18" s="2214"/>
      <c r="H18" s="1609"/>
      <c r="I18" s="2210"/>
      <c r="J18" s="2181"/>
      <c r="K18" s="1592"/>
      <c r="L18" s="2166"/>
      <c r="M18" s="2166"/>
      <c r="N18" s="1599"/>
      <c r="O18" s="2166"/>
      <c r="P18" s="2181"/>
      <c r="Q18" s="1600"/>
      <c r="R18" s="2166"/>
      <c r="S18" s="2166"/>
      <c r="T18" s="1601"/>
      <c r="U18" s="2166"/>
      <c r="V18" s="2181"/>
      <c r="W18" s="1602"/>
      <c r="X18" s="2166"/>
      <c r="Y18" s="2166"/>
      <c r="Z18" s="1599"/>
      <c r="AA18" s="2166"/>
      <c r="AB18" s="2181"/>
      <c r="AC18" s="1603"/>
      <c r="AD18" s="2166"/>
      <c r="AE18" s="2166"/>
      <c r="AF18" s="1604"/>
      <c r="AG18" s="1604"/>
      <c r="AH18" s="2205"/>
      <c r="AI18" s="2206"/>
      <c r="AJ18" s="1583"/>
      <c r="BM18" s="302">
        <v>14</v>
      </c>
    </row>
    <row customHeight="1" ht="14.699999999999998">
      <c r="D19" s="2211"/>
      <c r="E19" s="2207"/>
      <c r="F19" s="2207"/>
      <c r="G19" s="2214"/>
      <c r="H19" s="1609"/>
      <c r="I19" s="2210"/>
      <c r="J19" s="2181"/>
      <c r="K19" s="1592"/>
      <c r="L19" s="2166"/>
      <c r="M19" s="2166"/>
      <c r="N19" s="1599"/>
      <c r="O19" s="2166"/>
      <c r="P19" s="2181"/>
      <c r="Q19" s="1600"/>
      <c r="R19" s="2166"/>
      <c r="S19" s="2166"/>
      <c r="T19" s="1601"/>
      <c r="U19" s="2166"/>
      <c r="V19" s="2181"/>
      <c r="W19" s="1602"/>
      <c r="X19" s="2166"/>
      <c r="Y19" s="2166"/>
      <c r="Z19" s="1521"/>
      <c r="AA19" s="1604"/>
      <c r="AB19" s="2205"/>
      <c r="AC19" s="2205"/>
      <c r="AD19" s="2205"/>
      <c r="AE19" s="2205"/>
      <c r="AF19" s="2205"/>
      <c r="AG19" s="2205"/>
      <c r="AH19" s="2205"/>
      <c r="AI19" s="2206"/>
      <c r="AJ19" s="1583"/>
      <c r="BM19" s="302">
        <v>14</v>
      </c>
    </row>
    <row customHeight="1" ht="14.699999999999998">
      <c r="D20" s="2211"/>
      <c r="E20" s="2207"/>
      <c r="F20" s="2207"/>
      <c r="G20" s="2214"/>
      <c r="H20" s="1609"/>
      <c r="I20" s="2210"/>
      <c r="J20" s="2181"/>
      <c r="K20" s="1592"/>
      <c r="L20" s="2166"/>
      <c r="M20" s="2166"/>
      <c r="N20" s="1599"/>
      <c r="O20" s="2166"/>
      <c r="P20" s="2181"/>
      <c r="Q20" s="1600"/>
      <c r="R20" s="2166"/>
      <c r="S20" s="2166"/>
      <c r="T20" s="1605"/>
      <c r="U20" s="1606"/>
      <c r="V20" s="2205"/>
      <c r="W20" s="2205"/>
      <c r="X20" s="2205"/>
      <c r="Y20" s="2205"/>
      <c r="Z20" s="2205"/>
      <c r="AA20" s="2205"/>
      <c r="AB20" s="2205"/>
      <c r="AC20" s="2205"/>
      <c r="AD20" s="2205"/>
      <c r="AE20" s="2205"/>
      <c r="AF20" s="2205"/>
      <c r="AG20" s="2205"/>
      <c r="AH20" s="2205"/>
      <c r="AI20" s="2206"/>
      <c r="AJ20" s="1583"/>
      <c r="BM20" s="302">
        <v>14</v>
      </c>
    </row>
    <row customHeight="1" ht="11.549999999999999">
      <c r="D21" s="2211"/>
      <c r="E21" s="2207"/>
      <c r="F21" s="2207"/>
      <c r="G21" s="2214"/>
      <c r="H21" s="1610"/>
      <c r="I21" s="2210"/>
      <c r="J21" s="2181"/>
      <c r="K21" s="1592"/>
      <c r="L21" s="2166"/>
      <c r="M21" s="2166"/>
      <c r="N21" s="1604"/>
      <c r="O21" s="1604"/>
      <c r="P21" s="2205"/>
      <c r="Q21" s="2205"/>
      <c r="R21" s="2205"/>
      <c r="S21" s="2205"/>
      <c r="T21" s="2205"/>
      <c r="U21" s="2205"/>
      <c r="V21" s="2205"/>
      <c r="W21" s="2205"/>
      <c r="X21" s="2205"/>
      <c r="Y21" s="2205"/>
      <c r="Z21" s="2205"/>
      <c r="AA21" s="2205"/>
      <c r="AB21" s="2205"/>
      <c r="AC21" s="2205"/>
      <c r="AD21" s="2205"/>
      <c r="AE21" s="2205"/>
      <c r="AF21" s="2205"/>
      <c r="AG21" s="2205"/>
      <c r="AH21" s="2205"/>
      <c r="AI21" s="2206"/>
      <c r="AJ21" s="1583"/>
      <c r="BM21" s="302">
        <v>11</v>
      </c>
    </row>
    <row s="1563" customFormat="1" customHeight="1" ht="11.549999999999999">
      <c r="D22" s="2217"/>
      <c r="E22" s="2218"/>
      <c r="F22" s="2208"/>
      <c r="G22" s="2140"/>
      <c r="H22" s="1607"/>
      <c r="I22" s="1611"/>
      <c r="J22" s="2215"/>
      <c r="K22" s="2215"/>
      <c r="L22" s="2215"/>
      <c r="M22" s="2215"/>
      <c r="N22" s="2215"/>
      <c r="O22" s="2215"/>
      <c r="P22" s="2215"/>
      <c r="Q22" s="2215"/>
      <c r="R22" s="2215"/>
      <c r="S22" s="2215"/>
      <c r="T22" s="2215"/>
      <c r="U22" s="2215"/>
      <c r="V22" s="2215"/>
      <c r="W22" s="2215"/>
      <c r="X22" s="2215"/>
      <c r="Y22" s="2215"/>
      <c r="Z22" s="2215"/>
      <c r="AA22" s="2215"/>
      <c r="AB22" s="2215"/>
      <c r="AC22" s="2215"/>
      <c r="AD22" s="2215"/>
      <c r="AE22" s="2215"/>
      <c r="AF22" s="2215"/>
      <c r="AG22" s="2215"/>
      <c r="AH22" s="2215"/>
      <c r="AI22" s="2216"/>
      <c r="AJ22" s="1583"/>
      <c r="AK22" s="315"/>
      <c r="AL22" s="1583"/>
      <c r="AM22" s="1583"/>
      <c r="AN22" s="1583"/>
      <c r="AO22" s="1583"/>
      <c r="AP22" s="1583"/>
      <c r="AQ22" s="1583"/>
      <c r="AR22" s="1583"/>
      <c r="AS22" s="1583"/>
      <c r="AT22" s="1583"/>
      <c r="AU22" s="1583"/>
      <c r="AV22" s="1583"/>
      <c r="AW22" s="1583"/>
      <c r="AX22" s="1583"/>
      <c r="AY22" s="1583"/>
      <c r="AZ22" s="1583"/>
      <c r="BA22" s="1583"/>
      <c r="BB22" s="1583"/>
      <c r="BC22" s="1583"/>
      <c r="BD22" s="1583"/>
      <c r="BE22" s="1583"/>
      <c r="BF22" s="1583"/>
      <c r="BG22" s="1583"/>
      <c r="BH22" s="1583"/>
      <c r="BI22" s="1583"/>
      <c r="BJ22" s="1583"/>
      <c r="BK22" s="1583"/>
      <c r="BL22" s="1583"/>
      <c r="BM22" s="1563">
        <v>11</v>
      </c>
    </row>
    <row customHeight="1" ht="15">
      <c r="D23" s="2211" t="s">
        <v>91</v>
      </c>
      <c r="E23" s="2207" t="s">
        <v>308</v>
      </c>
      <c r="F23" s="2207" t="s">
        <v>311</v>
      </c>
      <c r="G23" s="2213" t="s">
        <v>19</v>
      </c>
      <c r="H23" s="1608"/>
      <c r="I23" s="2209"/>
      <c r="J23" s="2180"/>
      <c r="K23" s="1523"/>
      <c r="L23" s="2165"/>
      <c r="M23" s="2165"/>
      <c r="N23" s="1593"/>
      <c r="O23" s="2165"/>
      <c r="P23" s="2180"/>
      <c r="Q23" s="1594"/>
      <c r="R23" s="2165"/>
      <c r="S23" s="2165"/>
      <c r="T23" s="1595"/>
      <c r="U23" s="2165"/>
      <c r="V23" s="2180"/>
      <c r="W23" s="1596"/>
      <c r="X23" s="2165"/>
      <c r="Y23" s="2165"/>
      <c r="Z23" s="1593"/>
      <c r="AA23" s="2165"/>
      <c r="AB23" s="2180"/>
      <c r="AC23" s="1597"/>
      <c r="AD23" s="2165"/>
      <c r="AE23" s="2165"/>
      <c r="AF23" s="1522"/>
      <c r="AG23" s="1522"/>
      <c r="AH23" s="1598"/>
      <c r="AI23" s="1305"/>
      <c r="AJ23" s="1583"/>
      <c r="AK23" s="315" t="s">
        <v>99</v>
      </c>
      <c r="BM23" s="302">
        <v>14</v>
      </c>
    </row>
    <row customHeight="1" ht="14.699999999999998">
      <c r="D24" s="2211"/>
      <c r="E24" s="2207"/>
      <c r="F24" s="2207"/>
      <c r="G24" s="2214"/>
      <c r="H24" s="1609"/>
      <c r="I24" s="2210"/>
      <c r="J24" s="2181"/>
      <c r="K24" s="1619"/>
      <c r="L24" s="2166"/>
      <c r="M24" s="2166"/>
      <c r="N24" s="1599"/>
      <c r="O24" s="2166"/>
      <c r="P24" s="2181"/>
      <c r="Q24" s="1600"/>
      <c r="R24" s="2166"/>
      <c r="S24" s="2166"/>
      <c r="T24" s="1601"/>
      <c r="U24" s="2166"/>
      <c r="V24" s="2181"/>
      <c r="W24" s="1602"/>
      <c r="X24" s="2166"/>
      <c r="Y24" s="2166"/>
      <c r="Z24" s="1599"/>
      <c r="AA24" s="2166"/>
      <c r="AB24" s="2181"/>
      <c r="AC24" s="1603"/>
      <c r="AD24" s="2166"/>
      <c r="AE24" s="2166"/>
      <c r="AF24" s="1604"/>
      <c r="AG24" s="1604"/>
      <c r="AH24" s="2205"/>
      <c r="AI24" s="2206"/>
      <c r="AJ24" s="1583"/>
      <c r="BM24" s="302">
        <v>14</v>
      </c>
    </row>
    <row customHeight="1" ht="14.699999999999998">
      <c r="D25" s="2211"/>
      <c r="E25" s="2207"/>
      <c r="F25" s="2207"/>
      <c r="G25" s="2214"/>
      <c r="H25" s="1609"/>
      <c r="I25" s="2210"/>
      <c r="J25" s="2181"/>
      <c r="K25" s="1619"/>
      <c r="L25" s="2166"/>
      <c r="M25" s="2166"/>
      <c r="N25" s="1599"/>
      <c r="O25" s="2166"/>
      <c r="P25" s="2181"/>
      <c r="Q25" s="1600"/>
      <c r="R25" s="2166"/>
      <c r="S25" s="2166"/>
      <c r="T25" s="1601"/>
      <c r="U25" s="2166"/>
      <c r="V25" s="2181"/>
      <c r="W25" s="1602"/>
      <c r="X25" s="2166"/>
      <c r="Y25" s="2166"/>
      <c r="Z25" s="1521"/>
      <c r="AA25" s="1604"/>
      <c r="AB25" s="2205"/>
      <c r="AC25" s="2205"/>
      <c r="AD25" s="2205"/>
      <c r="AE25" s="2205"/>
      <c r="AF25" s="2205"/>
      <c r="AG25" s="2205"/>
      <c r="AH25" s="2205"/>
      <c r="AI25" s="2206"/>
      <c r="AJ25" s="1583"/>
      <c r="BM25" s="302">
        <v>14</v>
      </c>
    </row>
    <row customHeight="1" ht="14.699999999999998">
      <c r="D26" s="2211"/>
      <c r="E26" s="2207"/>
      <c r="F26" s="2207"/>
      <c r="G26" s="2214"/>
      <c r="H26" s="1609"/>
      <c r="I26" s="2210"/>
      <c r="J26" s="2181"/>
      <c r="K26" s="1619"/>
      <c r="L26" s="2166"/>
      <c r="M26" s="2166"/>
      <c r="N26" s="1599"/>
      <c r="O26" s="2166"/>
      <c r="P26" s="2181"/>
      <c r="Q26" s="1600"/>
      <c r="R26" s="2166"/>
      <c r="S26" s="2166"/>
      <c r="T26" s="1605"/>
      <c r="U26" s="1606"/>
      <c r="V26" s="2205"/>
      <c r="W26" s="2205"/>
      <c r="X26" s="2205"/>
      <c r="Y26" s="2205"/>
      <c r="Z26" s="2205"/>
      <c r="AA26" s="2205"/>
      <c r="AB26" s="2205"/>
      <c r="AC26" s="2205"/>
      <c r="AD26" s="2205"/>
      <c r="AE26" s="2205"/>
      <c r="AF26" s="2205"/>
      <c r="AG26" s="2205"/>
      <c r="AH26" s="2205"/>
      <c r="AI26" s="2206"/>
      <c r="AJ26" s="1583"/>
      <c r="BM26" s="302">
        <v>14</v>
      </c>
    </row>
    <row customHeight="1" ht="11.549999999999999">
      <c r="D27" s="2211"/>
      <c r="E27" s="2207"/>
      <c r="F27" s="2207"/>
      <c r="G27" s="2214"/>
      <c r="H27" s="1610"/>
      <c r="I27" s="2210"/>
      <c r="J27" s="2181"/>
      <c r="K27" s="1619"/>
      <c r="L27" s="2166"/>
      <c r="M27" s="2166"/>
      <c r="N27" s="1604"/>
      <c r="O27" s="1604"/>
      <c r="P27" s="2205"/>
      <c r="Q27" s="2205"/>
      <c r="R27" s="2205"/>
      <c r="S27" s="2205"/>
      <c r="T27" s="2205"/>
      <c r="U27" s="2205"/>
      <c r="V27" s="2205"/>
      <c r="W27" s="2205"/>
      <c r="X27" s="2205"/>
      <c r="Y27" s="2205"/>
      <c r="Z27" s="2205"/>
      <c r="AA27" s="2205"/>
      <c r="AB27" s="2205"/>
      <c r="AC27" s="2205"/>
      <c r="AD27" s="2205"/>
      <c r="AE27" s="2205"/>
      <c r="AF27" s="2205"/>
      <c r="AG27" s="2205"/>
      <c r="AH27" s="2205"/>
      <c r="AI27" s="2206"/>
      <c r="AJ27" s="1583"/>
      <c r="BM27" s="302">
        <v>11</v>
      </c>
    </row>
    <row s="1563" customFormat="1" customHeight="1" ht="11.549999999999999">
      <c r="D28" s="2217"/>
      <c r="E28" s="2218"/>
      <c r="F28" s="2208"/>
      <c r="G28" s="2140"/>
      <c r="H28" s="1607"/>
      <c r="I28" s="1611"/>
      <c r="J28" s="2215"/>
      <c r="K28" s="2215"/>
      <c r="L28" s="2215"/>
      <c r="M28" s="2215"/>
      <c r="N28" s="2215"/>
      <c r="O28" s="2215"/>
      <c r="P28" s="2215"/>
      <c r="Q28" s="2215"/>
      <c r="R28" s="2215"/>
      <c r="S28" s="2215"/>
      <c r="T28" s="2215"/>
      <c r="U28" s="2215"/>
      <c r="V28" s="2215"/>
      <c r="W28" s="2215"/>
      <c r="X28" s="2215"/>
      <c r="Y28" s="2215"/>
      <c r="Z28" s="2215"/>
      <c r="AA28" s="2215"/>
      <c r="AB28" s="2215"/>
      <c r="AC28" s="2215"/>
      <c r="AD28" s="2215"/>
      <c r="AE28" s="2215"/>
      <c r="AF28" s="2215"/>
      <c r="AG28" s="2215"/>
      <c r="AH28" s="2215"/>
      <c r="AI28" s="2216"/>
      <c r="AJ28" s="1583"/>
      <c r="AK28" s="315"/>
      <c r="AL28" s="1583"/>
      <c r="AM28" s="1583"/>
      <c r="AN28" s="1583"/>
      <c r="AO28" s="1583"/>
      <c r="AP28" s="1583"/>
      <c r="AQ28" s="1583"/>
      <c r="AR28" s="1583"/>
      <c r="AS28" s="1583"/>
      <c r="AT28" s="1583"/>
      <c r="AU28" s="1583"/>
      <c r="AV28" s="1583"/>
      <c r="AW28" s="1583"/>
      <c r="AX28" s="1583"/>
      <c r="AY28" s="1583"/>
      <c r="AZ28" s="1583"/>
      <c r="BA28" s="1583"/>
      <c r="BB28" s="1583"/>
      <c r="BC28" s="1583"/>
      <c r="BD28" s="1583"/>
      <c r="BE28" s="1583"/>
      <c r="BF28" s="1583"/>
      <c r="BG28" s="1583"/>
      <c r="BH28" s="1583"/>
      <c r="BI28" s="1583"/>
      <c r="BJ28" s="1583"/>
      <c r="BK28" s="1583"/>
      <c r="BL28" s="1583"/>
      <c r="BM28" s="1563">
        <v>11</v>
      </c>
    </row>
    <row customHeight="1" ht="15">
      <c r="D29" s="2211" t="s">
        <v>92</v>
      </c>
      <c r="E29" s="2207" t="s">
        <v>308</v>
      </c>
      <c r="F29" s="2207" t="s">
        <v>312</v>
      </c>
      <c r="G29" s="2213" t="s">
        <v>19</v>
      </c>
      <c r="H29" s="1608"/>
      <c r="I29" s="2209"/>
      <c r="J29" s="2180"/>
      <c r="K29" s="1523"/>
      <c r="L29" s="2165"/>
      <c r="M29" s="2165"/>
      <c r="N29" s="1593"/>
      <c r="O29" s="2165"/>
      <c r="P29" s="2180"/>
      <c r="Q29" s="1594"/>
      <c r="R29" s="2165"/>
      <c r="S29" s="2165"/>
      <c r="T29" s="1595"/>
      <c r="U29" s="2165"/>
      <c r="V29" s="2180"/>
      <c r="W29" s="1596"/>
      <c r="X29" s="2165"/>
      <c r="Y29" s="2165"/>
      <c r="Z29" s="1593"/>
      <c r="AA29" s="2165"/>
      <c r="AB29" s="2180"/>
      <c r="AC29" s="1597"/>
      <c r="AD29" s="2165"/>
      <c r="AE29" s="2165"/>
      <c r="AF29" s="1522"/>
      <c r="AG29" s="1522"/>
      <c r="AH29" s="1598"/>
      <c r="AI29" s="1305"/>
      <c r="AJ29" s="1583"/>
      <c r="BM29" s="302">
        <v>14</v>
      </c>
    </row>
    <row customHeight="1" ht="14.699999999999998">
      <c r="D30" s="2211"/>
      <c r="E30" s="2207"/>
      <c r="F30" s="2207"/>
      <c r="G30" s="2214"/>
      <c r="H30" s="1609"/>
      <c r="I30" s="2210"/>
      <c r="J30" s="2181"/>
      <c r="K30" s="1592"/>
      <c r="L30" s="2166"/>
      <c r="M30" s="2166"/>
      <c r="N30" s="1599"/>
      <c r="O30" s="2166"/>
      <c r="P30" s="2181"/>
      <c r="Q30" s="1600"/>
      <c r="R30" s="2166"/>
      <c r="S30" s="2166"/>
      <c r="T30" s="1601"/>
      <c r="U30" s="2166"/>
      <c r="V30" s="2181"/>
      <c r="W30" s="1602"/>
      <c r="X30" s="2166"/>
      <c r="Y30" s="2166"/>
      <c r="Z30" s="1599"/>
      <c r="AA30" s="2166"/>
      <c r="AB30" s="2181"/>
      <c r="AC30" s="1603"/>
      <c r="AD30" s="2166"/>
      <c r="AE30" s="2166"/>
      <c r="AF30" s="1604"/>
      <c r="AG30" s="1604"/>
      <c r="AH30" s="2205"/>
      <c r="AI30" s="2206"/>
      <c r="AJ30" s="1583"/>
      <c r="BM30" s="302">
        <v>14</v>
      </c>
    </row>
    <row customHeight="1" ht="14.699999999999998">
      <c r="D31" s="2211"/>
      <c r="E31" s="2207"/>
      <c r="F31" s="2207"/>
      <c r="G31" s="2214"/>
      <c r="H31" s="1609"/>
      <c r="I31" s="2210"/>
      <c r="J31" s="2181"/>
      <c r="K31" s="1592"/>
      <c r="L31" s="2166"/>
      <c r="M31" s="2166"/>
      <c r="N31" s="1599"/>
      <c r="O31" s="2166"/>
      <c r="P31" s="2181"/>
      <c r="Q31" s="1600"/>
      <c r="R31" s="2166"/>
      <c r="S31" s="2166"/>
      <c r="T31" s="1601"/>
      <c r="U31" s="2166"/>
      <c r="V31" s="2181"/>
      <c r="W31" s="1602"/>
      <c r="X31" s="2166"/>
      <c r="Y31" s="2166"/>
      <c r="Z31" s="1521"/>
      <c r="AA31" s="1604"/>
      <c r="AB31" s="2205"/>
      <c r="AC31" s="2205"/>
      <c r="AD31" s="2205"/>
      <c r="AE31" s="2205"/>
      <c r="AF31" s="2205"/>
      <c r="AG31" s="2205"/>
      <c r="AH31" s="2205"/>
      <c r="AI31" s="2206"/>
      <c r="AJ31" s="1583"/>
      <c r="BM31" s="302">
        <v>14</v>
      </c>
    </row>
    <row customHeight="1" ht="14.699999999999998">
      <c r="D32" s="2211"/>
      <c r="E32" s="2207"/>
      <c r="F32" s="2207"/>
      <c r="G32" s="2214"/>
      <c r="H32" s="1609"/>
      <c r="I32" s="2210"/>
      <c r="J32" s="2181"/>
      <c r="K32" s="1592"/>
      <c r="L32" s="2166"/>
      <c r="M32" s="2166"/>
      <c r="N32" s="1599"/>
      <c r="O32" s="2166"/>
      <c r="P32" s="2181"/>
      <c r="Q32" s="1600"/>
      <c r="R32" s="2166"/>
      <c r="S32" s="2166"/>
      <c r="T32" s="1605"/>
      <c r="U32" s="1606"/>
      <c r="V32" s="2205"/>
      <c r="W32" s="2205"/>
      <c r="X32" s="2205"/>
      <c r="Y32" s="2205"/>
      <c r="Z32" s="2205"/>
      <c r="AA32" s="2205"/>
      <c r="AB32" s="2205"/>
      <c r="AC32" s="2205"/>
      <c r="AD32" s="2205"/>
      <c r="AE32" s="2205"/>
      <c r="AF32" s="2205"/>
      <c r="AG32" s="2205"/>
      <c r="AH32" s="2205"/>
      <c r="AI32" s="2206"/>
      <c r="AJ32" s="1583"/>
      <c r="BM32" s="302">
        <v>14</v>
      </c>
    </row>
    <row customHeight="1" ht="11.549999999999999">
      <c r="D33" s="2211"/>
      <c r="E33" s="2207"/>
      <c r="F33" s="2207"/>
      <c r="G33" s="2214"/>
      <c r="H33" s="1610"/>
      <c r="I33" s="2210"/>
      <c r="J33" s="2181"/>
      <c r="K33" s="1592"/>
      <c r="L33" s="2166"/>
      <c r="M33" s="2166"/>
      <c r="N33" s="1604"/>
      <c r="O33" s="1604"/>
      <c r="P33" s="2205"/>
      <c r="Q33" s="2205"/>
      <c r="R33" s="2205"/>
      <c r="S33" s="2205"/>
      <c r="T33" s="2205"/>
      <c r="U33" s="2205"/>
      <c r="V33" s="2205"/>
      <c r="W33" s="2205"/>
      <c r="X33" s="2205"/>
      <c r="Y33" s="2205"/>
      <c r="Z33" s="2205"/>
      <c r="AA33" s="2205"/>
      <c r="AB33" s="2205"/>
      <c r="AC33" s="2205"/>
      <c r="AD33" s="2205"/>
      <c r="AE33" s="2205"/>
      <c r="AF33" s="2205"/>
      <c r="AG33" s="2205"/>
      <c r="AH33" s="2205"/>
      <c r="AI33" s="2206"/>
      <c r="AJ33" s="1583"/>
      <c r="BM33" s="302">
        <v>11</v>
      </c>
    </row>
    <row s="1563" customFormat="1" customHeight="1" ht="11.549999999999999">
      <c r="D34" s="2217"/>
      <c r="E34" s="2218"/>
      <c r="F34" s="2208"/>
      <c r="G34" s="2140"/>
      <c r="H34" s="1607"/>
      <c r="I34" s="1611"/>
      <c r="J34" s="2215"/>
      <c r="K34" s="2215"/>
      <c r="L34" s="2215"/>
      <c r="M34" s="2215"/>
      <c r="N34" s="2215"/>
      <c r="O34" s="2215"/>
      <c r="P34" s="2215"/>
      <c r="Q34" s="2215"/>
      <c r="R34" s="2215"/>
      <c r="S34" s="2215"/>
      <c r="T34" s="2215"/>
      <c r="U34" s="2215"/>
      <c r="V34" s="2215"/>
      <c r="W34" s="2215"/>
      <c r="X34" s="2215"/>
      <c r="Y34" s="2215"/>
      <c r="Z34" s="2215"/>
      <c r="AA34" s="2215"/>
      <c r="AB34" s="2215"/>
      <c r="AC34" s="2215"/>
      <c r="AD34" s="2215"/>
      <c r="AE34" s="2215"/>
      <c r="AF34" s="2215"/>
      <c r="AG34" s="2215"/>
      <c r="AH34" s="2215"/>
      <c r="AI34" s="2216"/>
      <c r="AJ34" s="1583"/>
      <c r="AK34" s="315"/>
      <c r="AL34" s="1583"/>
      <c r="AM34" s="1583"/>
      <c r="AN34" s="1583"/>
      <c r="AO34" s="1583"/>
      <c r="AP34" s="1583"/>
      <c r="AQ34" s="1583"/>
      <c r="AR34" s="1583"/>
      <c r="AS34" s="1583"/>
      <c r="AT34" s="1583"/>
      <c r="AU34" s="1583"/>
      <c r="AV34" s="1583"/>
      <c r="AW34" s="1583"/>
      <c r="AX34" s="1583"/>
      <c r="AY34" s="1583"/>
      <c r="AZ34" s="1583"/>
      <c r="BA34" s="1583"/>
      <c r="BB34" s="1583"/>
      <c r="BC34" s="1583"/>
      <c r="BD34" s="1583"/>
      <c r="BE34" s="1583"/>
      <c r="BF34" s="1583"/>
      <c r="BG34" s="1583"/>
      <c r="BH34" s="1583"/>
      <c r="BI34" s="1583"/>
      <c r="BJ34" s="1583"/>
      <c r="BK34" s="1583"/>
      <c r="BL34" s="1583"/>
      <c r="BM34" s="1563">
        <v>11</v>
      </c>
    </row>
    <row customHeight="1" ht="15">
      <c r="D35" s="2211" t="s">
        <v>119</v>
      </c>
      <c r="E35" s="2207" t="s">
        <v>308</v>
      </c>
      <c r="F35" s="2207" t="s">
        <v>313</v>
      </c>
      <c r="G35" s="2213" t="s">
        <v>19</v>
      </c>
      <c r="H35" s="1608"/>
      <c r="I35" s="2209"/>
      <c r="J35" s="2180"/>
      <c r="K35" s="1523"/>
      <c r="L35" s="2165"/>
      <c r="M35" s="2165"/>
      <c r="N35" s="1593"/>
      <c r="O35" s="2165"/>
      <c r="P35" s="2180"/>
      <c r="Q35" s="1594"/>
      <c r="R35" s="2165"/>
      <c r="S35" s="2165"/>
      <c r="T35" s="1595"/>
      <c r="U35" s="2165"/>
      <c r="V35" s="2180"/>
      <c r="W35" s="1596"/>
      <c r="X35" s="2165"/>
      <c r="Y35" s="2165"/>
      <c r="Z35" s="1593"/>
      <c r="AA35" s="2165"/>
      <c r="AB35" s="2180"/>
      <c r="AC35" s="1597"/>
      <c r="AD35" s="2165"/>
      <c r="AE35" s="2165"/>
      <c r="AF35" s="1522"/>
      <c r="AG35" s="1522"/>
      <c r="AH35" s="1598"/>
      <c r="AI35" s="1305"/>
      <c r="AJ35" s="1583"/>
      <c r="BM35" s="302">
        <v>14</v>
      </c>
    </row>
    <row customHeight="1" ht="14.699999999999998">
      <c r="D36" s="2211"/>
      <c r="E36" s="2207"/>
      <c r="F36" s="2207"/>
      <c r="G36" s="2214"/>
      <c r="H36" s="1609"/>
      <c r="I36" s="2210"/>
      <c r="J36" s="2181"/>
      <c r="K36" s="1592"/>
      <c r="L36" s="2166"/>
      <c r="M36" s="2166"/>
      <c r="N36" s="1599"/>
      <c r="O36" s="2166"/>
      <c r="P36" s="2181"/>
      <c r="Q36" s="1600"/>
      <c r="R36" s="2166"/>
      <c r="S36" s="2166"/>
      <c r="T36" s="1601"/>
      <c r="U36" s="2166"/>
      <c r="V36" s="2181"/>
      <c r="W36" s="1602"/>
      <c r="X36" s="2166"/>
      <c r="Y36" s="2166"/>
      <c r="Z36" s="1599"/>
      <c r="AA36" s="2166"/>
      <c r="AB36" s="2181"/>
      <c r="AC36" s="1603"/>
      <c r="AD36" s="2166"/>
      <c r="AE36" s="2166"/>
      <c r="AF36" s="1604"/>
      <c r="AG36" s="1604"/>
      <c r="AH36" s="2205"/>
      <c r="AI36" s="2206"/>
      <c r="AJ36" s="1583"/>
      <c r="BM36" s="302">
        <v>14</v>
      </c>
    </row>
    <row customHeight="1" ht="14.699999999999998">
      <c r="D37" s="2211"/>
      <c r="E37" s="2207"/>
      <c r="F37" s="2207"/>
      <c r="G37" s="2214"/>
      <c r="H37" s="1609"/>
      <c r="I37" s="2210"/>
      <c r="J37" s="2181"/>
      <c r="K37" s="1592"/>
      <c r="L37" s="2166"/>
      <c r="M37" s="2166"/>
      <c r="N37" s="1599"/>
      <c r="O37" s="2166"/>
      <c r="P37" s="2181"/>
      <c r="Q37" s="1600"/>
      <c r="R37" s="2166"/>
      <c r="S37" s="2166"/>
      <c r="T37" s="1601"/>
      <c r="U37" s="2166"/>
      <c r="V37" s="2181"/>
      <c r="W37" s="1602"/>
      <c r="X37" s="2166"/>
      <c r="Y37" s="2166"/>
      <c r="Z37" s="1521"/>
      <c r="AA37" s="1604"/>
      <c r="AB37" s="2205"/>
      <c r="AC37" s="2205"/>
      <c r="AD37" s="2205"/>
      <c r="AE37" s="2205"/>
      <c r="AF37" s="2205"/>
      <c r="AG37" s="2205"/>
      <c r="AH37" s="2205"/>
      <c r="AI37" s="2206"/>
      <c r="AJ37" s="1583"/>
      <c r="BM37" s="302">
        <v>14</v>
      </c>
    </row>
    <row customHeight="1" ht="14.699999999999998">
      <c r="D38" s="2211"/>
      <c r="E38" s="2207"/>
      <c r="F38" s="2207"/>
      <c r="G38" s="2214"/>
      <c r="H38" s="1609"/>
      <c r="I38" s="2210"/>
      <c r="J38" s="2181"/>
      <c r="K38" s="1592"/>
      <c r="L38" s="2166"/>
      <c r="M38" s="2166"/>
      <c r="N38" s="1599"/>
      <c r="O38" s="2166"/>
      <c r="P38" s="2181"/>
      <c r="Q38" s="1600"/>
      <c r="R38" s="2166"/>
      <c r="S38" s="2166"/>
      <c r="T38" s="1605"/>
      <c r="U38" s="1606"/>
      <c r="V38" s="2205"/>
      <c r="W38" s="2205"/>
      <c r="X38" s="2205"/>
      <c r="Y38" s="2205"/>
      <c r="Z38" s="2205"/>
      <c r="AA38" s="2205"/>
      <c r="AB38" s="2205"/>
      <c r="AC38" s="2205"/>
      <c r="AD38" s="2205"/>
      <c r="AE38" s="2205"/>
      <c r="AF38" s="2205"/>
      <c r="AG38" s="2205"/>
      <c r="AH38" s="2205"/>
      <c r="AI38" s="2206"/>
      <c r="AJ38" s="1583"/>
      <c r="BM38" s="302">
        <v>14</v>
      </c>
    </row>
    <row customHeight="1" ht="11.549999999999999">
      <c r="D39" s="2211"/>
      <c r="E39" s="2207"/>
      <c r="F39" s="2207"/>
      <c r="G39" s="2214"/>
      <c r="H39" s="1610"/>
      <c r="I39" s="2210"/>
      <c r="J39" s="2181"/>
      <c r="K39" s="1592"/>
      <c r="L39" s="2166"/>
      <c r="M39" s="2166"/>
      <c r="N39" s="1604"/>
      <c r="O39" s="1604"/>
      <c r="P39" s="2205"/>
      <c r="Q39" s="2205"/>
      <c r="R39" s="2205"/>
      <c r="S39" s="2205"/>
      <c r="T39" s="2205"/>
      <c r="U39" s="2205"/>
      <c r="V39" s="2205"/>
      <c r="W39" s="2205"/>
      <c r="X39" s="2205"/>
      <c r="Y39" s="2205"/>
      <c r="Z39" s="2205"/>
      <c r="AA39" s="2205"/>
      <c r="AB39" s="2205"/>
      <c r="AC39" s="2205"/>
      <c r="AD39" s="2205"/>
      <c r="AE39" s="2205"/>
      <c r="AF39" s="2205"/>
      <c r="AG39" s="2205"/>
      <c r="AH39" s="2205"/>
      <c r="AI39" s="2206"/>
      <c r="AJ39" s="1583"/>
      <c r="BM39" s="302">
        <v>11</v>
      </c>
    </row>
    <row s="1563" customFormat="1" customHeight="1" ht="11.549999999999999">
      <c r="D40" s="2211"/>
      <c r="E40" s="2207"/>
      <c r="F40" s="2212"/>
      <c r="G40" s="2140"/>
      <c r="H40" s="1607"/>
      <c r="I40" s="1611"/>
      <c r="J40" s="2215"/>
      <c r="K40" s="2215"/>
      <c r="L40" s="2215"/>
      <c r="M40" s="2215"/>
      <c r="N40" s="2215"/>
      <c r="O40" s="2215"/>
      <c r="P40" s="2215"/>
      <c r="Q40" s="2215"/>
      <c r="R40" s="2215"/>
      <c r="S40" s="2215"/>
      <c r="T40" s="2215"/>
      <c r="U40" s="2215"/>
      <c r="V40" s="2215"/>
      <c r="W40" s="2215"/>
      <c r="X40" s="2215"/>
      <c r="Y40" s="2215"/>
      <c r="Z40" s="2215"/>
      <c r="AA40" s="2215"/>
      <c r="AB40" s="2215"/>
      <c r="AC40" s="2215"/>
      <c r="AD40" s="2215"/>
      <c r="AE40" s="2215"/>
      <c r="AF40" s="2215"/>
      <c r="AG40" s="2215"/>
      <c r="AH40" s="2215"/>
      <c r="AI40" s="2216"/>
      <c r="AJ40" s="1583"/>
      <c r="AK40" s="315"/>
      <c r="AL40" s="1583"/>
      <c r="AM40" s="1583"/>
      <c r="AN40" s="1583"/>
      <c r="AO40" s="1583"/>
      <c r="AP40" s="1583"/>
      <c r="AQ40" s="1583"/>
      <c r="AR40" s="1583"/>
      <c r="AS40" s="1583"/>
      <c r="AT40" s="1583"/>
      <c r="AU40" s="1583"/>
      <c r="AV40" s="1583"/>
      <c r="AW40" s="1583"/>
      <c r="AX40" s="1583"/>
      <c r="AY40" s="1583"/>
      <c r="AZ40" s="1583"/>
      <c r="BA40" s="1583"/>
      <c r="BB40" s="1583"/>
      <c r="BC40" s="1583"/>
      <c r="BD40" s="1583"/>
      <c r="BE40" s="1583"/>
      <c r="BF40" s="1583"/>
      <c r="BG40" s="1583"/>
      <c r="BH40" s="1583"/>
      <c r="BI40" s="1583"/>
      <c r="BJ40" s="1583"/>
      <c r="BK40" s="1583"/>
      <c r="BL40" s="1583"/>
      <c r="BM40" s="1563">
        <v>11</v>
      </c>
    </row>
    <row customHeight="1" ht="11.549999999999999">
      <c r="AK41" s="432"/>
      <c r="BM41" s="302">
        <v>11</v>
      </c>
    </row>
    <row customHeight="1" ht="11.549999999999999">
      <c r="AK42" s="432"/>
      <c r="BM42" s="302">
        <v>11</v>
      </c>
    </row>
    <row customHeight="1" ht="11.549999999999999">
      <c r="AK43" s="432"/>
      <c r="BM43" s="302">
        <v>11</v>
      </c>
    </row>
    <row customHeight="1" ht="11.549999999999999">
      <c r="AK44" s="432"/>
      <c r="BM44" s="302">
        <v>11</v>
      </c>
    </row>
    <row customHeight="1" ht="11.549999999999999">
      <c r="AK45" s="432"/>
      <c r="BM45" s="302">
        <v>11</v>
      </c>
    </row>
    <row customHeight="1" ht="11.549999999999999">
      <c r="AK46" s="432"/>
      <c r="BM46" s="302">
        <v>11</v>
      </c>
    </row>
    <row customHeight="1" ht="11.549999999999999">
      <c r="AK47" s="432"/>
      <c r="BM47" s="302">
        <v>11</v>
      </c>
    </row>
    <row customHeight="1" ht="11.549999999999999">
      <c r="AK48" s="432"/>
      <c r="BM48" s="302">
        <v>11</v>
      </c>
    </row>
    <row customHeight="1" ht="11.549999999999999">
      <c r="AK49" s="432"/>
      <c r="BM49" s="302">
        <v>11</v>
      </c>
    </row>
    <row customHeight="1" ht="11.25" hidden="1">
      <c r="A50" s="302" t="s">
        <v>83</v>
      </c>
      <c r="B50" s="302">
        <v>0</v>
      </c>
      <c r="C50" s="302">
        <v>3</v>
      </c>
      <c r="D50" s="302">
        <v>3</v>
      </c>
      <c r="E50" s="302">
        <v>15</v>
      </c>
      <c r="F50" s="302">
        <v>15</v>
      </c>
      <c r="G50" s="302">
        <v>11</v>
      </c>
      <c r="H50" s="302">
        <v>3</v>
      </c>
      <c r="I50" s="302">
        <v>3</v>
      </c>
      <c r="J50" s="302">
        <v>12</v>
      </c>
      <c r="K50" s="302">
        <v>0</v>
      </c>
      <c r="L50" s="302">
        <v>10</v>
      </c>
      <c r="M50" s="302">
        <v>10</v>
      </c>
      <c r="N50" s="302">
        <v>3</v>
      </c>
      <c r="O50" s="302">
        <v>3</v>
      </c>
      <c r="P50" s="302">
        <v>19</v>
      </c>
      <c r="Q50" s="302">
        <v>0</v>
      </c>
      <c r="R50" s="302">
        <v>10</v>
      </c>
      <c r="S50" s="302">
        <v>10</v>
      </c>
      <c r="T50" s="302">
        <v>3</v>
      </c>
      <c r="U50" s="302">
        <v>3</v>
      </c>
      <c r="V50" s="302">
        <v>25</v>
      </c>
      <c r="W50" s="302">
        <v>0</v>
      </c>
      <c r="X50" s="302">
        <v>10</v>
      </c>
      <c r="Y50" s="302">
        <v>10</v>
      </c>
      <c r="Z50" s="302">
        <v>3</v>
      </c>
      <c r="AA50" s="302">
        <v>3</v>
      </c>
      <c r="AB50" s="302">
        <v>16</v>
      </c>
      <c r="AC50" s="302">
        <v>0</v>
      </c>
      <c r="AD50" s="302">
        <v>10</v>
      </c>
      <c r="AE50" s="302">
        <v>10</v>
      </c>
      <c r="AF50" s="302">
        <v>3</v>
      </c>
      <c r="AG50" s="302">
        <v>3</v>
      </c>
      <c r="AH50" s="302">
        <v>8</v>
      </c>
      <c r="AI50" s="302">
        <v>21</v>
      </c>
      <c r="AJ50" s="432">
        <v>8</v>
      </c>
      <c r="AK50" s="315">
        <v>8</v>
      </c>
      <c r="AL50" s="432">
        <v>8</v>
      </c>
      <c r="AM50" s="432">
        <v>8</v>
      </c>
      <c r="AN50" s="432">
        <v>8</v>
      </c>
      <c r="AO50" s="432">
        <v>8</v>
      </c>
      <c r="AP50" s="432">
        <v>8</v>
      </c>
      <c r="AQ50" s="432">
        <v>8</v>
      </c>
      <c r="AR50" s="432">
        <v>8</v>
      </c>
      <c r="AS50" s="432">
        <v>8</v>
      </c>
      <c r="AT50" s="432">
        <v>8</v>
      </c>
      <c r="AU50" s="432">
        <v>8</v>
      </c>
      <c r="AV50" s="432">
        <v>8</v>
      </c>
      <c r="AW50" s="432">
        <v>8</v>
      </c>
      <c r="AX50" s="432">
        <v>8</v>
      </c>
      <c r="AY50" s="432">
        <v>8</v>
      </c>
      <c r="AZ50" s="432">
        <v>8</v>
      </c>
      <c r="BA50" s="432">
        <v>8</v>
      </c>
      <c r="BB50" s="432">
        <v>8</v>
      </c>
      <c r="BC50" s="432">
        <v>8</v>
      </c>
      <c r="BD50" s="432">
        <v>8</v>
      </c>
      <c r="BE50" s="432">
        <v>8</v>
      </c>
      <c r="BF50" s="432">
        <v>8</v>
      </c>
      <c r="BG50" s="432">
        <v>8</v>
      </c>
      <c r="BH50" s="432">
        <v>8</v>
      </c>
      <c r="BI50" s="432">
        <v>8</v>
      </c>
      <c r="BJ50" s="432">
        <v>8</v>
      </c>
      <c r="BK50" s="432">
        <v>8</v>
      </c>
      <c r="BL50" s="432">
        <v>8</v>
      </c>
      <c r="BM50" s="302">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5BEBA6-5059-E5D9-81A6-0.7D3A5A3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6" width="1.7109375" customWidth="1"/>
    <col min="2" max="2" style="1856" width="34.57421875" customWidth="1"/>
    <col min="3" max="3" style="1856" width="85.00390625" customWidth="1"/>
    <col min="4" max="4" style="1856" width="17.00390625" customWidth="1"/>
    <col min="5" max="5" style="1856" width="8.00390625" customWidth="1"/>
    <col min="6" max="6" style="1856" width="9.140625" hidden="1"/>
  </cols>
  <sheetData>
    <row customHeight="1" ht="3">
      <c r="F1" s="98" t="s">
        <v>14</v>
      </c>
    </row>
    <row customHeight="1" ht="22.5">
      <c r="B2" s="2645" t="s">
        <v>2149</v>
      </c>
      <c r="C2" s="2528"/>
      <c r="D2" s="2528"/>
      <c r="E2" s="277"/>
      <c r="F2" s="98">
        <v>22</v>
      </c>
    </row>
    <row customHeight="1" ht="3">
      <c r="F3" s="98">
        <v>3</v>
      </c>
    </row>
    <row customHeight="1" ht="23.25">
      <c r="B4" s="2646" t="s">
        <v>2150</v>
      </c>
      <c r="C4" s="392" t="s">
        <v>2151</v>
      </c>
      <c r="D4" s="392" t="s">
        <v>2152</v>
      </c>
      <c r="F4" s="98">
        <v>22</v>
      </c>
    </row>
    <row customHeight="1" ht="11.25" hidden="1">
      <c r="A5" s="98" t="s">
        <v>83</v>
      </c>
      <c r="B5" s="98">
        <v>34</v>
      </c>
      <c r="C5" s="98">
        <v>85</v>
      </c>
      <c r="D5" s="98">
        <v>17</v>
      </c>
      <c r="E5" s="98">
        <v>8</v>
      </c>
      <c r="F5" s="98">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25EB05-D191-BE78-D1FF-0.F145CF63}"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6" width="26.57421875" customWidth="1"/>
    <col min="2" max="2" style="1856" width="10.00390625" customWidth="1"/>
    <col min="3" max="3" style="1856" width="9.140625"/>
    <col min="4" max="4" style="1856" width="11.140625" customWidth="1"/>
    <col min="5" max="5" style="1856" width="16.57421875" customWidth="1"/>
    <col min="6" max="6" style="1856" width="16.28125" customWidth="1"/>
    <col min="7" max="7" style="1856" width="19.140625" customWidth="1"/>
    <col min="8" max="11" style="1856" width="10.00390625" customWidth="1"/>
    <col min="12" max="12" style="1856" width="12.7109375" customWidth="1"/>
    <col min="13" max="13" style="1856" width="61.28125" customWidth="1"/>
    <col min="14" max="14" style="1856" width="10.00390625" customWidth="1"/>
    <col min="15" max="17" style="1856" width="23.7109375" customWidth="1"/>
    <col min="18" max="18" style="1856" width="11.7109375" customWidth="1"/>
    <col min="19" max="19" style="1856" width="8.57421875" customWidth="1"/>
    <col min="20" max="20" style="1856" width="11.7109375" customWidth="1"/>
    <col min="21" max="21" style="1856" width="8.57421875" customWidth="1"/>
    <col min="22" max="22" style="1856" width="4.7109375" customWidth="1"/>
    <col min="23" max="23" style="1856" width="115.7109375" customWidth="1"/>
    <col min="24" max="24" style="1856" width="115.28125" customWidth="1"/>
    <col min="25" max="27" style="1856" width="9.140625"/>
    <col min="28" max="28" style="1856" width="115.7109375" customWidth="1"/>
    <col min="29" max="29" style="1856" width="9.140625"/>
    <col min="30" max="90" style="1856" width="115.7109375" customWidth="1"/>
    <col min="91" max="184" style="1856" width="9.140625"/>
  </cols>
  <sheetData>
    <row r="2" s="1823" customFormat="1" customHeight="1" ht="17.25">
      <c r="A2" s="1823" t="s">
        <v>2153</v>
      </c>
    </row>
    <row r="4" s="273" customFormat="1" customHeight="1" ht="15">
      <c r="C4" s="1824"/>
      <c r="D4" s="122"/>
      <c r="E4" s="386"/>
    </row>
    <row r="6" s="1823" customFormat="1" customHeight="1" ht="17.25">
      <c r="A6" s="1823" t="s">
        <v>2154</v>
      </c>
    </row>
    <row r="8" s="273" customFormat="1" customHeight="1" ht="17.25">
      <c r="C8" s="1825"/>
      <c r="D8" s="122"/>
      <c r="E8" s="123"/>
    </row>
    <row r="11" s="1823" customFormat="1" customHeight="1" ht="17.25">
      <c r="A11" s="1823" t="s">
        <v>2155</v>
      </c>
    </row>
    <row r="13" s="1827" customFormat="1" customHeight="1" ht="15">
      <c r="A13" s="2245">
        <v>1</v>
      </c>
      <c r="B13" s="1169"/>
      <c r="C13" s="810" t="s">
        <v>104</v>
      </c>
      <c r="D13" s="1826"/>
      <c r="E13" s="1813">
        <f>A13</f>
        <v>1</v>
      </c>
      <c r="F13" s="813"/>
      <c r="G13" s="549" t="str">
        <f>"Территория "&amp;E13</f>
        <v>Территория 1</v>
      </c>
      <c r="H13" s="801"/>
      <c r="I13" s="801"/>
      <c r="J13" s="798"/>
      <c r="K13" s="1633"/>
      <c r="L13" s="1633"/>
      <c r="M13" s="1633"/>
      <c r="N13" s="235"/>
      <c r="O13" s="1633"/>
      <c r="P13" s="234"/>
      <c r="Q13" s="234"/>
      <c r="R13" s="234"/>
      <c r="S13" s="234"/>
    </row>
    <row s="1856" customFormat="1" customHeight="1" ht="15">
      <c r="A14" s="2245"/>
      <c r="B14" s="1169">
        <v>1</v>
      </c>
      <c r="C14" s="1169"/>
      <c r="D14" s="809"/>
      <c r="E14" s="1821" t="str">
        <f>A13&amp;"."&amp;B14</f>
        <v>1.1</v>
      </c>
      <c r="F14" s="812">
        <f>$F$20</f>
        <v>0</v>
      </c>
      <c r="G14" s="802"/>
      <c r="H14" s="802"/>
      <c r="I14" s="800"/>
      <c r="J14" s="1633"/>
      <c r="K14" s="1645"/>
      <c r="L14" s="1645"/>
      <c r="M14" s="1633" t="str">
        <f t="array" ref="M14:M14">IF(ISERROR(MATCH(MID(N14,1,250),MID(note_ter,1,250),0)),"n","y")</f>
        <v>n</v>
      </c>
      <c r="N14" s="1645"/>
      <c r="O14" s="1633" t="str">
        <f>H14&amp;"("&amp;I14&amp;")"</f>
        <v>()</v>
      </c>
      <c r="P14" s="1169"/>
      <c r="Q14" s="1169"/>
      <c r="R14" s="429"/>
      <c r="S14" s="1169"/>
      <c r="T14" s="1169"/>
      <c r="U14" s="1169"/>
      <c r="V14" s="431"/>
      <c r="W14" s="431"/>
      <c r="X14" s="428"/>
      <c r="Y14" s="428"/>
      <c r="Z14" s="428"/>
      <c r="AA14" s="428"/>
      <c r="AB14" s="428"/>
      <c r="AC14" s="428"/>
      <c r="AD14" s="428"/>
      <c r="AE14" s="428"/>
      <c r="AF14" s="428"/>
      <c r="AG14" s="428"/>
      <c r="AH14" s="428"/>
      <c r="AI14" s="428"/>
      <c r="AJ14" s="428"/>
      <c r="AK14" s="428"/>
      <c r="AL14" s="428"/>
      <c r="AM14" s="428"/>
      <c r="AN14" s="428"/>
      <c r="AO14" s="428"/>
      <c r="AP14" s="428"/>
      <c r="AQ14" s="428"/>
      <c r="AR14" s="428"/>
      <c r="AS14" s="428"/>
      <c r="AT14" s="428"/>
      <c r="AU14" s="428"/>
      <c r="AV14" s="428"/>
      <c r="AW14" s="428"/>
      <c r="AX14" s="428"/>
      <c r="AY14" s="428"/>
      <c r="AZ14" s="428"/>
      <c r="BA14" s="428"/>
      <c r="BB14" s="428"/>
      <c r="BC14" s="428"/>
      <c r="BD14" s="428"/>
      <c r="BE14" s="428"/>
      <c r="BF14" s="428"/>
      <c r="BG14" s="428"/>
      <c r="BH14" s="428"/>
      <c r="BI14" s="428"/>
      <c r="BJ14" s="428"/>
      <c r="BK14" s="428"/>
      <c r="BL14" s="428"/>
      <c r="BM14" s="428"/>
      <c r="BN14" s="428"/>
      <c r="BO14" s="428"/>
      <c r="BP14" s="428"/>
      <c r="BQ14" s="428"/>
      <c r="BR14" s="428"/>
      <c r="BS14" s="431"/>
      <c r="BT14" s="431"/>
      <c r="BU14" s="431"/>
      <c r="BV14" s="431"/>
      <c r="BW14" s="431"/>
      <c r="BX14" s="431"/>
      <c r="BY14" s="431"/>
      <c r="BZ14" s="431"/>
      <c r="CA14" s="431"/>
      <c r="CB14" s="431"/>
    </row>
    <row s="1856" customFormat="1" customHeight="1" ht="15">
      <c r="A15" s="2245"/>
      <c r="B15" s="1169"/>
      <c r="C15" s="421"/>
      <c r="D15" s="810"/>
      <c r="E15" s="430"/>
      <c r="F15" s="186"/>
      <c r="G15" s="424" t="s">
        <v>102</v>
      </c>
      <c r="H15" s="196"/>
      <c r="I15" s="433"/>
      <c r="J15" s="1645"/>
      <c r="K15" s="1645"/>
      <c r="L15" s="1645"/>
      <c r="M15" s="1645"/>
      <c r="N15" s="1633"/>
      <c r="O15" s="1645"/>
      <c r="P15" s="1169"/>
      <c r="Q15" s="1169"/>
      <c r="R15" s="429"/>
      <c r="S15" s="1169"/>
      <c r="T15" s="1169"/>
      <c r="U15" s="1169"/>
      <c r="V15" s="431"/>
      <c r="W15" s="431"/>
      <c r="X15" s="428"/>
      <c r="Y15" s="428"/>
      <c r="Z15" s="428"/>
      <c r="AA15" s="428"/>
      <c r="AB15" s="428"/>
      <c r="AC15" s="428"/>
      <c r="AD15" s="428"/>
      <c r="AE15" s="428"/>
      <c r="AF15" s="428"/>
      <c r="AG15" s="428"/>
      <c r="AH15" s="428"/>
      <c r="AI15" s="428"/>
      <c r="AJ15" s="428"/>
      <c r="AK15" s="428"/>
      <c r="AL15" s="428"/>
      <c r="AM15" s="428"/>
      <c r="AN15" s="428"/>
      <c r="AO15" s="428"/>
      <c r="AP15" s="428"/>
      <c r="AQ15" s="428"/>
      <c r="AR15" s="428"/>
      <c r="AS15" s="428"/>
      <c r="AT15" s="428"/>
      <c r="AU15" s="428"/>
      <c r="AV15" s="428"/>
      <c r="AW15" s="428"/>
      <c r="AX15" s="428"/>
      <c r="AY15" s="428"/>
      <c r="AZ15" s="428"/>
      <c r="BA15" s="428"/>
      <c r="BB15" s="428"/>
      <c r="BC15" s="428"/>
      <c r="BD15" s="428"/>
      <c r="BE15" s="428"/>
      <c r="BF15" s="428"/>
      <c r="BG15" s="428"/>
      <c r="BH15" s="428"/>
      <c r="BI15" s="428"/>
      <c r="BJ15" s="428"/>
      <c r="BK15" s="428"/>
      <c r="BL15" s="428"/>
      <c r="BM15" s="428"/>
      <c r="BN15" s="428"/>
      <c r="BO15" s="428"/>
      <c r="BP15" s="428"/>
      <c r="BQ15" s="428"/>
      <c r="BR15" s="428"/>
      <c r="BS15" s="431"/>
      <c r="BT15" s="431"/>
      <c r="BU15" s="431"/>
      <c r="BV15" s="431"/>
      <c r="BW15" s="431"/>
      <c r="BX15" s="431"/>
      <c r="BY15" s="431"/>
      <c r="BZ15" s="431"/>
      <c r="CA15" s="431"/>
      <c r="CB15" s="431"/>
    </row>
    <row r="17" s="1823" customFormat="1" customHeight="1" ht="17.25">
      <c r="A17" s="1823" t="s">
        <v>2156</v>
      </c>
    </row>
    <row r="19" s="1856" customFormat="1" customHeight="1" ht="15">
      <c r="A19" s="1888"/>
      <c r="B19" s="1375">
        <v>1</v>
      </c>
      <c r="C19" s="1375"/>
      <c r="D19" s="809" t="s">
        <v>104</v>
      </c>
      <c r="E19" s="1884"/>
      <c r="F19" s="1889">
        <f>$F$20</f>
        <v>0</v>
      </c>
      <c r="G19" s="1893"/>
      <c r="H19" s="1893"/>
      <c r="I19" s="1891"/>
      <c r="J19" s="1633"/>
      <c r="K19" s="1645"/>
      <c r="L19" s="1645"/>
      <c r="M19" s="1633" t="str">
        <f t="array" ref="M19:M19">IF(ISERROR(MATCH(MID(N19,1,250),MID(note_ter,1,250),0)),"n","y")</f>
        <v>n</v>
      </c>
      <c r="N19" s="1645"/>
      <c r="O19" s="1633" t="str">
        <f>H19&amp;"("&amp;I19&amp;")"</f>
        <v>()</v>
      </c>
      <c r="P19" s="1375"/>
      <c r="Q19" s="1375"/>
      <c r="R19" s="429"/>
      <c r="S19" s="1375"/>
      <c r="T19" s="1375"/>
      <c r="U19" s="1375"/>
      <c r="V19" s="842"/>
      <c r="W19" s="842"/>
      <c r="X19" s="636"/>
      <c r="Y19" s="636"/>
      <c r="Z19" s="636"/>
      <c r="AA19" s="636"/>
      <c r="AB19" s="636"/>
      <c r="AC19" s="636"/>
      <c r="AD19" s="636"/>
      <c r="AE19" s="636"/>
      <c r="AF19" s="636"/>
      <c r="AG19" s="636"/>
      <c r="AH19" s="636"/>
      <c r="AI19" s="636"/>
      <c r="AJ19" s="636"/>
      <c r="AK19" s="636"/>
      <c r="AL19" s="636"/>
      <c r="AM19" s="636"/>
      <c r="AN19" s="636"/>
      <c r="AO19" s="636"/>
      <c r="AP19" s="636"/>
      <c r="AQ19" s="636"/>
      <c r="AR19" s="636"/>
      <c r="AS19" s="636"/>
      <c r="AT19" s="636"/>
      <c r="AU19" s="636"/>
      <c r="AV19" s="636"/>
      <c r="AW19" s="636"/>
      <c r="AX19" s="636"/>
      <c r="AY19" s="636"/>
      <c r="AZ19" s="636"/>
      <c r="BA19" s="636"/>
      <c r="BB19" s="636"/>
      <c r="BC19" s="636"/>
      <c r="BD19" s="636"/>
      <c r="BE19" s="636"/>
      <c r="BF19" s="636"/>
      <c r="BG19" s="636"/>
      <c r="BH19" s="636"/>
      <c r="BI19" s="636"/>
      <c r="BJ19" s="636"/>
      <c r="BK19" s="636"/>
      <c r="BL19" s="636"/>
      <c r="BM19" s="636"/>
      <c r="BN19" s="636"/>
      <c r="BO19" s="636"/>
      <c r="BP19" s="636"/>
      <c r="BQ19" s="636"/>
      <c r="BR19" s="636"/>
      <c r="BS19" s="842"/>
      <c r="BT19" s="842"/>
      <c r="BU19" s="842"/>
      <c r="BV19" s="842"/>
      <c r="BW19" s="842"/>
      <c r="BX19" s="842"/>
      <c r="BY19" s="842"/>
      <c r="BZ19" s="842"/>
      <c r="CA19" s="842"/>
      <c r="CB19" s="842"/>
    </row>
    <row r="21" s="1856" customFormat="1" customHeight="1" ht="15">
      <c r="A21" s="1823" t="s">
        <v>2157</v>
      </c>
      <c r="B21" s="1823"/>
      <c r="C21" s="1823"/>
      <c r="D21" s="1823"/>
      <c r="E21" s="1823"/>
      <c r="F21" s="1823"/>
      <c r="G21" s="1823"/>
      <c r="H21" s="1823"/>
      <c r="I21" s="1823"/>
      <c r="J21" s="1823"/>
      <c r="K21" s="1823"/>
      <c r="L21" s="1823"/>
      <c r="M21" s="1823"/>
      <c r="N21" s="1823"/>
      <c r="O21" s="1823"/>
      <c r="P21" s="1823"/>
      <c r="Q21" s="1823"/>
      <c r="R21" s="1823"/>
      <c r="S21" s="1823"/>
      <c r="T21" s="1823"/>
      <c r="U21" s="193"/>
      <c r="V21" s="1823"/>
      <c r="W21" s="1823"/>
    </row>
    <row s="1856" customFormat="1" customHeight="1" ht="15">
      <c r="U22" s="194"/>
    </row>
    <row s="1859" customFormat="1" customHeight="1" ht="15">
      <c r="A23" s="432"/>
      <c r="B23" s="432"/>
      <c r="C23" s="1736" t="s">
        <v>104</v>
      </c>
      <c r="D23" s="2136" t="s">
        <v>118</v>
      </c>
      <c r="E23" s="2137"/>
      <c r="F23" s="2135" t="s">
        <v>19</v>
      </c>
      <c r="G23" s="2585"/>
      <c r="H23" s="2155">
        <v>1</v>
      </c>
      <c r="I23" s="2587" t="str">
        <f>IF(U23="","",INDEX(TERRITORY_MR_LIST,MATCH(U23,TERRITORY_LIST_ID,0)))</f>
        <v/>
      </c>
      <c r="J23" s="2135" t="s">
        <v>19</v>
      </c>
      <c r="K23" s="841"/>
      <c r="L23" s="1790" t="s">
        <v>118</v>
      </c>
      <c r="M23" s="612"/>
      <c r="N23" s="613"/>
      <c r="O23" s="613"/>
      <c r="P23" s="613"/>
      <c r="Q23" s="613"/>
      <c r="R23" s="613"/>
      <c r="S23" s="613"/>
      <c r="T23" s="613"/>
      <c r="U23" s="614"/>
      <c r="V23" s="613"/>
      <c r="W23" s="613"/>
      <c r="X23" s="604"/>
      <c r="Y23" s="604" t="s">
        <v>128</v>
      </c>
      <c r="Z23" s="604">
        <v>1705000</v>
      </c>
      <c r="AA23" s="604"/>
      <c r="AB23" s="604"/>
      <c r="AC23" s="604"/>
      <c r="AD23" s="604"/>
      <c r="AE23" s="604"/>
      <c r="AF23" s="604"/>
      <c r="AG23" s="604"/>
      <c r="AH23" s="604"/>
      <c r="AI23" s="604"/>
      <c r="AJ23" s="604"/>
      <c r="AK23" s="604"/>
      <c r="AL23" s="604"/>
    </row>
    <row s="1859" customFormat="1" customHeight="1" ht="15">
      <c r="A24" s="432"/>
      <c r="B24" s="432"/>
      <c r="C24" s="185"/>
      <c r="D24" s="2136"/>
      <c r="E24" s="2138"/>
      <c r="F24" s="2135"/>
      <c r="G24" s="2586"/>
      <c r="H24" s="2155"/>
      <c r="I24" s="2588"/>
      <c r="J24" s="2135"/>
      <c r="K24" s="430"/>
      <c r="L24" s="186"/>
      <c r="M24" s="616" t="s">
        <v>129</v>
      </c>
      <c r="N24" s="613"/>
      <c r="O24" s="613"/>
      <c r="P24" s="613"/>
      <c r="Q24" s="613"/>
      <c r="R24" s="613"/>
      <c r="S24" s="613"/>
      <c r="T24" s="613"/>
      <c r="U24" s="614"/>
      <c r="V24" s="613"/>
      <c r="W24" s="613"/>
      <c r="X24" s="604"/>
      <c r="Y24" s="604"/>
      <c r="Z24" s="604"/>
      <c r="AA24" s="604"/>
      <c r="AB24" s="604"/>
      <c r="AC24" s="604"/>
      <c r="AD24" s="604"/>
      <c r="AE24" s="604"/>
      <c r="AF24" s="604"/>
      <c r="AG24" s="604"/>
      <c r="AH24" s="604"/>
      <c r="AI24" s="604"/>
      <c r="AJ24" s="604"/>
      <c r="AK24" s="604"/>
      <c r="AL24" s="604"/>
    </row>
    <row s="1859" customFormat="1" customHeight="1" ht="15">
      <c r="A25" s="432"/>
      <c r="B25" s="432"/>
      <c r="C25" s="185"/>
      <c r="D25" s="2136"/>
      <c r="E25" s="2139"/>
      <c r="F25" s="2135"/>
      <c r="G25" s="430"/>
      <c r="H25" s="186"/>
      <c r="I25" s="589" t="s">
        <v>132</v>
      </c>
      <c r="J25" s="186"/>
      <c r="K25" s="186"/>
      <c r="L25" s="186"/>
      <c r="M25" s="617"/>
      <c r="N25" s="613"/>
      <c r="O25" s="613"/>
      <c r="P25" s="613"/>
      <c r="Q25" s="613"/>
      <c r="R25" s="613"/>
      <c r="S25" s="613"/>
      <c r="T25" s="613"/>
      <c r="U25" s="614"/>
      <c r="V25" s="613"/>
      <c r="W25" s="613"/>
      <c r="X25" s="604"/>
      <c r="Y25" s="604"/>
      <c r="Z25" s="604"/>
      <c r="AA25" s="604"/>
      <c r="AB25" s="604"/>
      <c r="AC25" s="604"/>
      <c r="AD25" s="604"/>
      <c r="AE25" s="604"/>
      <c r="AF25" s="604"/>
      <c r="AG25" s="604"/>
      <c r="AH25" s="604"/>
      <c r="AI25" s="604"/>
      <c r="AJ25" s="604"/>
      <c r="AK25" s="604"/>
      <c r="AL25" s="604"/>
    </row>
    <row s="1856" customFormat="1" customHeight="1" ht="15">
      <c r="U26" s="194"/>
    </row>
    <row s="1856" customFormat="1" customHeight="1" ht="15">
      <c r="A27" s="1823" t="s">
        <v>2158</v>
      </c>
      <c r="B27" s="1823"/>
      <c r="C27" s="1823"/>
      <c r="D27" s="1823"/>
      <c r="E27" s="1823"/>
      <c r="F27" s="1823"/>
      <c r="G27" s="1823"/>
      <c r="H27" s="1823"/>
      <c r="I27" s="1823"/>
      <c r="J27" s="1823"/>
      <c r="K27" s="1823"/>
      <c r="L27" s="1823"/>
      <c r="M27" s="1823"/>
      <c r="N27" s="1823"/>
      <c r="O27" s="1823"/>
      <c r="P27" s="1823"/>
      <c r="Q27" s="1823"/>
      <c r="R27" s="1823"/>
      <c r="S27" s="1823"/>
      <c r="T27" s="1823"/>
      <c r="U27" s="193"/>
      <c r="V27" s="1823"/>
      <c r="W27" s="1823"/>
    </row>
    <row s="1856" customFormat="1" customHeight="1" ht="15">
      <c r="U28" s="194"/>
    </row>
    <row s="1859" customFormat="1" customHeight="1" ht="15">
      <c r="A29" s="432"/>
      <c r="B29" s="432"/>
      <c r="C29" s="185"/>
      <c r="D29" s="1829"/>
      <c r="E29" s="1829"/>
      <c r="F29" s="1829"/>
      <c r="G29" s="2589" t="s">
        <v>104</v>
      </c>
      <c r="H29" s="2131">
        <v>1</v>
      </c>
      <c r="I29" s="2590" t="str">
        <f>IF(U29="","",INDEX(TERRITORY_MR_LIST,MATCH(U29,TERRITORY_LIST_ID,0)))</f>
        <v/>
      </c>
      <c r="J29" s="2135" t="s">
        <v>19</v>
      </c>
      <c r="K29" s="841"/>
      <c r="L29" s="1790" t="s">
        <v>118</v>
      </c>
      <c r="M29" s="612"/>
      <c r="N29" s="613"/>
      <c r="O29" s="613"/>
      <c r="P29" s="613"/>
      <c r="Q29" s="613"/>
      <c r="R29" s="613"/>
      <c r="S29" s="613"/>
      <c r="T29" s="613"/>
      <c r="U29" s="614"/>
      <c r="V29" s="613"/>
      <c r="W29" s="613"/>
      <c r="X29" s="604"/>
      <c r="Y29" s="604" t="s">
        <v>128</v>
      </c>
      <c r="Z29" s="604">
        <v>1705000</v>
      </c>
      <c r="AA29" s="604"/>
      <c r="AB29" s="604"/>
      <c r="AC29" s="604"/>
      <c r="AD29" s="604"/>
      <c r="AE29" s="604"/>
      <c r="AF29" s="604"/>
      <c r="AG29" s="604"/>
      <c r="AH29" s="604"/>
      <c r="AI29" s="604"/>
      <c r="AJ29" s="604"/>
      <c r="AK29" s="604"/>
      <c r="AL29" s="604"/>
    </row>
    <row s="1859" customFormat="1" customHeight="1" ht="15">
      <c r="A30" s="432"/>
      <c r="B30" s="432"/>
      <c r="C30" s="185"/>
      <c r="D30" s="1829"/>
      <c r="E30" s="1829"/>
      <c r="F30" s="1829"/>
      <c r="G30" s="2589"/>
      <c r="H30" s="2131"/>
      <c r="I30" s="2590"/>
      <c r="J30" s="2135"/>
      <c r="K30" s="430"/>
      <c r="L30" s="186"/>
      <c r="M30" s="616" t="s">
        <v>129</v>
      </c>
      <c r="N30" s="613"/>
      <c r="O30" s="613"/>
      <c r="P30" s="613"/>
      <c r="Q30" s="613"/>
      <c r="R30" s="613"/>
      <c r="S30" s="613"/>
      <c r="T30" s="613"/>
      <c r="U30" s="614"/>
      <c r="V30" s="613"/>
      <c r="W30" s="613"/>
      <c r="X30" s="604"/>
      <c r="Y30" s="604"/>
      <c r="Z30" s="604"/>
      <c r="AA30" s="604"/>
      <c r="AB30" s="604"/>
      <c r="AC30" s="604"/>
      <c r="AD30" s="604"/>
      <c r="AE30" s="604"/>
      <c r="AF30" s="604"/>
      <c r="AG30" s="604"/>
      <c r="AH30" s="604"/>
      <c r="AI30" s="604"/>
      <c r="AJ30" s="604"/>
      <c r="AK30" s="604"/>
      <c r="AL30" s="604"/>
    </row>
    <row s="1856" customFormat="1" customHeight="1" ht="15">
      <c r="U31" s="194"/>
    </row>
    <row s="1856" customFormat="1" customHeight="1" ht="15">
      <c r="A32" s="1823" t="s">
        <v>2159</v>
      </c>
      <c r="B32" s="1823"/>
      <c r="C32" s="1823"/>
      <c r="D32" s="1823"/>
      <c r="E32" s="1823"/>
      <c r="F32" s="1823"/>
      <c r="G32" s="1823"/>
      <c r="H32" s="1823"/>
      <c r="I32" s="1823"/>
      <c r="J32" s="1823"/>
      <c r="K32" s="1823"/>
      <c r="L32" s="1823"/>
      <c r="M32" s="1823"/>
      <c r="N32" s="1823"/>
      <c r="O32" s="1823"/>
      <c r="P32" s="1823"/>
      <c r="Q32" s="1823"/>
      <c r="R32" s="1823"/>
      <c r="S32" s="1823"/>
      <c r="T32" s="1823"/>
      <c r="U32" s="193"/>
      <c r="V32" s="1823"/>
      <c r="W32" s="1823"/>
    </row>
    <row s="1856" customFormat="1" customHeight="1" ht="15">
      <c r="U33" s="194"/>
    </row>
    <row s="1859" customFormat="1" customHeight="1" ht="15">
      <c r="A34" s="432"/>
      <c r="B34" s="432"/>
      <c r="C34" s="185"/>
      <c r="D34" s="1829"/>
      <c r="E34" s="1829"/>
      <c r="F34" s="1829"/>
      <c r="G34" s="1829"/>
      <c r="H34" s="1829"/>
      <c r="I34" s="1829"/>
      <c r="J34" s="1829"/>
      <c r="K34" s="1807" t="s">
        <v>104</v>
      </c>
      <c r="L34" s="1737" t="s">
        <v>118</v>
      </c>
      <c r="M34" s="820"/>
      <c r="N34" s="821"/>
      <c r="O34" s="613"/>
      <c r="P34" s="613"/>
      <c r="Q34" s="613"/>
      <c r="R34" s="613"/>
      <c r="S34" s="613"/>
      <c r="T34" s="613"/>
      <c r="U34" s="614"/>
      <c r="V34" s="613"/>
      <c r="W34" s="613"/>
      <c r="X34" s="604"/>
      <c r="Y34" s="604" t="s">
        <v>128</v>
      </c>
      <c r="Z34" s="604">
        <v>1705000</v>
      </c>
      <c r="AA34" s="604"/>
      <c r="AB34" s="604"/>
      <c r="AC34" s="604"/>
      <c r="AD34" s="604"/>
      <c r="AE34" s="604"/>
      <c r="AF34" s="604"/>
      <c r="AG34" s="604"/>
      <c r="AH34" s="604"/>
      <c r="AI34" s="604"/>
      <c r="AJ34" s="604"/>
      <c r="AK34" s="604"/>
      <c r="AL34" s="604"/>
    </row>
    <row s="1856" customFormat="1" customHeight="1" ht="15">
      <c r="U35" s="194"/>
    </row>
    <row s="1856" customFormat="1" customHeight="1" ht="15">
      <c r="U36" s="194"/>
    </row>
    <row s="1823" customFormat="1" customHeight="1" ht="11.25">
      <c r="A37" s="1823" t="s">
        <v>2160</v>
      </c>
    </row>
    <row customHeight="1" ht="11.25"/>
    <row s="464" customFormat="1" customHeight="1" ht="22.5">
      <c r="A39" s="1799"/>
      <c r="B39" s="466"/>
      <c r="C39" s="868"/>
      <c r="D39" s="449"/>
      <c r="E39" s="869"/>
      <c r="F39" s="1820"/>
      <c r="G39" s="1830"/>
      <c r="H39" s="484"/>
    </row>
    <row customHeight="1" ht="11.25"/>
    <row s="1823" customFormat="1" customHeight="1" ht="11.25">
      <c r="A41" s="1823" t="s">
        <v>2161</v>
      </c>
    </row>
    <row customHeight="1" ht="11.25"/>
    <row s="464" customFormat="1" customHeight="1" ht="22.5">
      <c r="A43" s="466"/>
      <c r="B43" s="466"/>
      <c r="C43" s="466"/>
      <c r="D43" s="449"/>
      <c r="E43" s="869"/>
      <c r="F43" s="870"/>
      <c r="G43" s="1830"/>
      <c r="H43" s="484"/>
    </row>
    <row customHeight="1" ht="11.25"/>
    <row s="1823" customFormat="1" customHeight="1" ht="11.25">
      <c r="A45" s="1823" t="s">
        <v>2162</v>
      </c>
    </row>
    <row customHeight="1" ht="11.25"/>
    <row s="464" customFormat="1" customHeight="1" ht="24">
      <c r="A47" s="2230" t="s">
        <v>328</v>
      </c>
      <c r="B47" s="511"/>
      <c r="C47" s="2241"/>
      <c r="D47" s="454" t="str">
        <f>A47</f>
        <v>5.1</v>
      </c>
      <c r="E47" s="451" t="s">
        <v>329</v>
      </c>
      <c r="F47" s="1982" t="s">
        <v>321</v>
      </c>
      <c r="G47" s="453" t="s">
        <v>330</v>
      </c>
      <c r="H47" s="484"/>
      <c r="I47" s="861"/>
    </row>
    <row s="464" customFormat="1" customHeight="1" ht="22.5">
      <c r="A48" s="2230"/>
      <c r="B48" s="511"/>
      <c r="C48" s="2241"/>
      <c r="D48" s="449" t="str">
        <f>D47&amp;".1"</f>
        <v>5.1.1</v>
      </c>
      <c r="E48" s="448" t="s">
        <v>331</v>
      </c>
      <c r="F48" s="1983" t="s">
        <v>22</v>
      </c>
      <c r="G48" s="483"/>
      <c r="H48" s="484"/>
      <c r="I48" s="861"/>
    </row>
    <row s="464" customFormat="1" customHeight="1" ht="22.5">
      <c r="A49" s="2230"/>
      <c r="B49" s="511"/>
      <c r="C49" s="2241"/>
      <c r="D49" s="449" t="str">
        <f>D47&amp;".2"</f>
        <v>5.1.2</v>
      </c>
      <c r="E49" s="448" t="s">
        <v>332</v>
      </c>
      <c r="F49" s="1740" t="s">
        <v>22</v>
      </c>
      <c r="G49" s="453" t="s">
        <v>333</v>
      </c>
      <c r="H49" s="484"/>
      <c r="I49" s="861"/>
    </row>
    <row s="464" customFormat="1" customHeight="1" ht="22.5">
      <c r="A50" s="2230"/>
      <c r="B50" s="511"/>
      <c r="C50" s="2241"/>
      <c r="D50" s="449" t="str">
        <f>D47&amp;".3"</f>
        <v>5.1.3</v>
      </c>
      <c r="E50" s="448" t="s">
        <v>334</v>
      </c>
      <c r="F50" s="1983" t="s">
        <v>22</v>
      </c>
      <c r="G50" s="483"/>
      <c r="H50" s="484"/>
      <c r="I50" s="861"/>
    </row>
    <row s="464" customFormat="1" customHeight="1" ht="22.5">
      <c r="A51" s="2230"/>
      <c r="B51" s="511"/>
      <c r="C51" s="2241"/>
      <c r="D51" s="449" t="str">
        <f>D47&amp;".4"</f>
        <v>5.1.4</v>
      </c>
      <c r="E51" s="448" t="s">
        <v>335</v>
      </c>
      <c r="F51" s="1983" t="s">
        <v>22</v>
      </c>
      <c r="G51" s="453" t="s">
        <v>336</v>
      </c>
      <c r="H51" s="484"/>
      <c r="I51" s="861"/>
    </row>
    <row r="54" s="1823" customFormat="1" customHeight="1" ht="17.25">
      <c r="A54" s="1823" t="s">
        <v>2163</v>
      </c>
    </row>
    <row r="56" s="1621" customFormat="1" customHeight="1" ht="18.75">
      <c r="A56" s="98"/>
      <c r="B56" s="1831"/>
      <c r="C56" s="1831"/>
      <c r="D56" s="1832"/>
      <c r="E56" s="1817"/>
      <c r="F56" s="877">
        <v>13</v>
      </c>
      <c r="G56" s="876"/>
      <c r="H56" s="802"/>
      <c r="I56" s="800"/>
      <c r="J56" s="529" t="s">
        <v>63</v>
      </c>
      <c r="K56" s="1833" t="s">
        <v>22</v>
      </c>
      <c r="L56" s="98"/>
      <c r="M56" s="1645"/>
      <c r="N56" s="1645"/>
      <c r="O56" s="1645"/>
      <c r="P56" s="525" t="s">
        <v>407</v>
      </c>
      <c r="Q56" s="525" t="s">
        <v>408</v>
      </c>
      <c r="R56" s="526" t="s">
        <v>409</v>
      </c>
      <c r="S56" s="1645" t="s">
        <v>410</v>
      </c>
      <c r="T56" s="1645"/>
      <c r="U56" s="1645"/>
      <c r="V56" s="1645"/>
    </row>
    <row r="58" s="1823" customFormat="1" customHeight="1" ht="11.25">
      <c r="A58" s="1823" t="s">
        <v>2164</v>
      </c>
    </row>
    <row r="60" s="1644" customFormat="1" customHeight="1" ht="14.25">
      <c r="C60" s="1696"/>
      <c r="D60" s="1875"/>
      <c r="E60" s="1785" t="s">
        <v>22</v>
      </c>
      <c r="F60" s="1874"/>
      <c r="G60" s="865"/>
      <c r="H60" s="1786"/>
      <c r="I60" s="1786"/>
      <c r="J60" s="442"/>
      <c r="K60" s="1869"/>
      <c r="L60" s="441"/>
      <c r="M60" s="1869"/>
      <c r="N60" s="442"/>
      <c r="O60" s="1869"/>
      <c r="P60" s="442"/>
      <c r="Q60" s="1869"/>
      <c r="R60" s="442"/>
      <c r="S60" s="863"/>
      <c r="T60" s="1786"/>
      <c r="U60" s="442"/>
      <c r="V60" s="442"/>
      <c r="W60" s="1873"/>
      <c r="X60" s="1786"/>
      <c r="Y60" s="442"/>
      <c r="Z60" s="442"/>
      <c r="AA60" s="1873"/>
      <c r="AB60" s="1786"/>
      <c r="AC60" s="442"/>
      <c r="AD60" s="1873"/>
      <c r="AE60" s="98"/>
      <c r="AF60" s="98"/>
      <c r="AG60" s="98"/>
      <c r="AH60" s="98"/>
      <c r="AJ60" s="1645"/>
      <c r="AK60" s="1645"/>
      <c r="AL60" s="1645"/>
      <c r="AM60" s="1645"/>
      <c r="AN60" s="1645"/>
      <c r="AO60" s="1645"/>
      <c r="AP60" s="1633" t="s">
        <v>396</v>
      </c>
      <c r="AQ60" s="1633" t="s">
        <v>396</v>
      </c>
      <c r="AR60" s="1645"/>
      <c r="AS60" s="1645"/>
    </row>
    <row r="62" s="1823" customFormat="1" customHeight="1" ht="11.25">
      <c r="A62" s="1823" t="s">
        <v>2165</v>
      </c>
    </row>
    <row r="64" s="1831" customFormat="1" customHeight="1" ht="15">
      <c r="A64" s="154" t="s">
        <v>91</v>
      </c>
      <c r="B64" s="134" t="s">
        <v>22</v>
      </c>
      <c r="C64" s="1834"/>
      <c r="D64" s="137"/>
      <c r="E64" s="390"/>
      <c r="F64" s="390"/>
      <c r="G64" s="1811"/>
      <c r="H64" s="1833"/>
      <c r="I64" s="1812"/>
      <c r="K64" s="281"/>
      <c r="L64" s="282"/>
    </row>
    <row r="66" s="1823" customFormat="1" customHeight="1" ht="11.25">
      <c r="A66" s="1823" t="s">
        <v>2166</v>
      </c>
    </row>
    <row r="68" s="1644" customFormat="1" customHeight="1" ht="14.25">
      <c r="A68" s="352"/>
      <c r="B68" s="1169"/>
      <c r="C68" s="385"/>
      <c r="D68" s="1818"/>
      <c r="E68" s="895"/>
      <c r="F68" s="1833"/>
      <c r="G68" s="98"/>
      <c r="I68" s="1633"/>
      <c r="J68" s="1633"/>
    </row>
    <row r="70" s="1823" customFormat="1" customHeight="1" ht="11.25">
      <c r="A70" s="1823" t="s">
        <v>2167</v>
      </c>
    </row>
    <row r="72" s="1644" customFormat="1" customHeight="1" ht="27">
      <c r="A72" s="1175"/>
      <c r="B72" s="1175"/>
      <c r="C72" s="1175"/>
      <c r="D72" s="1169"/>
      <c r="E72" s="1835"/>
      <c r="F72" s="2609"/>
      <c r="G72" s="2610"/>
      <c r="H72" s="2611" t="s">
        <v>63</v>
      </c>
      <c r="I72" s="2613"/>
      <c r="J72" s="2576"/>
      <c r="K72" s="2615"/>
      <c r="L72" s="2578"/>
      <c r="M72" s="2578"/>
      <c r="N72" s="2579"/>
      <c r="O72" s="2579"/>
      <c r="P72" s="2580">
        <f>DATEDIF(DATEVALUE(N72),DATEVALUE(O72),"y")&amp;"г. "&amp;DATEDIF(DATEVALUE(N72),DATEVALUE(O72),"ym")&amp;"мес. "&amp;DATEVALUE(O72)-DATE(YEAR(DATEVALUE(O72)),MONTH(DATEVALUE(O72)),1)&amp;"дн. "</f>
      </c>
      <c r="Q72" s="2575"/>
      <c r="R72" s="2575"/>
      <c r="S72" s="2575"/>
      <c r="T72" s="2576"/>
      <c r="U72" s="2575"/>
      <c r="V72" s="2575"/>
      <c r="W72" s="2575"/>
      <c r="X72" s="2576"/>
      <c r="Y72" s="2573" t="s">
        <v>63</v>
      </c>
      <c r="Z72" s="1816"/>
      <c r="AA72" s="1800">
        <v>1</v>
      </c>
      <c r="AB72" s="1251"/>
      <c r="AD72" s="1645" t="s">
        <v>2168</v>
      </c>
    </row>
    <row s="1644" customFormat="1" customHeight="1" ht="10.5">
      <c r="A73" s="1175"/>
      <c r="B73" s="1175"/>
      <c r="C73" s="1175"/>
      <c r="D73" s="1169"/>
      <c r="E73" s="956"/>
      <c r="F73" s="2609"/>
      <c r="G73" s="2610"/>
      <c r="H73" s="2612"/>
      <c r="I73" s="2614"/>
      <c r="J73" s="2577"/>
      <c r="K73" s="2615"/>
      <c r="L73" s="2578"/>
      <c r="M73" s="2578"/>
      <c r="N73" s="2579"/>
      <c r="O73" s="2579"/>
      <c r="P73" s="2580"/>
      <c r="Q73" s="2575"/>
      <c r="R73" s="2575"/>
      <c r="S73" s="2575"/>
      <c r="T73" s="2577"/>
      <c r="U73" s="2575"/>
      <c r="V73" s="2575"/>
      <c r="W73" s="2575"/>
      <c r="X73" s="2577"/>
      <c r="Y73" s="2574"/>
      <c r="Z73" s="356"/>
      <c r="AA73" s="581"/>
      <c r="AB73" s="661" t="s">
        <v>1037</v>
      </c>
    </row>
    <row r="75" s="1823" customFormat="1" customHeight="1" ht="11.25">
      <c r="A75" s="1823" t="s">
        <v>2169</v>
      </c>
    </row>
    <row r="77" s="1644" customFormat="1" customHeight="1" ht="27">
      <c r="A77" s="1175"/>
      <c r="B77" s="1175"/>
      <c r="C77" s="1175"/>
      <c r="D77" s="1169"/>
      <c r="E77" s="1835"/>
      <c r="F77" s="1805"/>
      <c r="G77" s="1755"/>
      <c r="H77" s="1756"/>
      <c r="I77" s="1757"/>
      <c r="J77" s="1758"/>
      <c r="K77" s="1759"/>
      <c r="L77" s="1760"/>
      <c r="M77" s="1760"/>
      <c r="N77" s="1761"/>
      <c r="O77" s="1761"/>
      <c r="P77" s="1762"/>
      <c r="Q77" s="1763"/>
      <c r="R77" s="1763"/>
      <c r="S77" s="1763"/>
      <c r="T77" s="1758"/>
      <c r="U77" s="1763"/>
      <c r="V77" s="1763"/>
      <c r="W77" s="1763"/>
      <c r="X77" s="1758"/>
      <c r="Y77" s="1756"/>
      <c r="Z77" s="1816"/>
      <c r="AA77" s="1800">
        <v>1</v>
      </c>
      <c r="AB77" s="1251"/>
      <c r="AD77" s="1645" t="s">
        <v>2168</v>
      </c>
    </row>
    <row r="79" s="1823" customFormat="1" customHeight="1" ht="11.25">
      <c r="A79" s="1823" t="s">
        <v>2170</v>
      </c>
    </row>
    <row customHeight="1" ht="17.25"/>
    <row s="1644" customFormat="1" customHeight="1" ht="21">
      <c r="A81" s="1176"/>
      <c r="B81" s="1175"/>
      <c r="C81" s="1175"/>
      <c r="D81" s="1169"/>
      <c r="E81" s="1179"/>
      <c r="F81" s="1131">
        <f>INDEX(IP_MAIN_LIST_NAME_IP,MATCH(A81,IP_MAIN_LIST_IP_ID,0))&amp;" ("&amp;INDEX(IP_MAIN_START_DATE,MATCH(A81,IP_MAIN_LIST_IP_ID,0))&amp;"-"&amp;INDEX(IP_MAIN_END_DATE,MATCH(A81,IP_MAIN_LIST_IP_ID,0))&amp;")"</f>
      </c>
      <c r="G81" s="1132"/>
      <c r="H81" s="1132"/>
      <c r="I81" s="1194"/>
      <c r="J81" s="1194"/>
      <c r="K81" s="1195"/>
      <c r="L81" s="1195"/>
      <c r="M81" s="1195"/>
      <c r="N81" s="1196"/>
      <c r="O81" s="1196"/>
      <c r="P81" s="1196"/>
      <c r="Q81" s="1196"/>
      <c r="R81" s="1196"/>
      <c r="S81" s="1196"/>
      <c r="T81" s="1196"/>
      <c r="U81" s="1196"/>
      <c r="V81" s="1196"/>
      <c r="W81" s="1196"/>
      <c r="X81" s="1196"/>
      <c r="Y81" s="1196"/>
      <c r="Z81" s="1196"/>
      <c r="AA81" s="1196"/>
      <c r="AB81" s="1196"/>
      <c r="AC81" s="1196"/>
      <c r="AD81" s="1196"/>
      <c r="AE81" s="1197"/>
      <c r="AF81" s="1195"/>
      <c r="AG81" s="1195"/>
      <c r="AH81" s="1195"/>
      <c r="AI81" s="1195"/>
      <c r="AJ81" s="1195"/>
      <c r="AK81" s="1195"/>
      <c r="AL81" s="1994"/>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row>
    <row s="1644" customFormat="1" customHeight="1" ht="0.75">
      <c r="A82" s="1175"/>
      <c r="B82" s="1175"/>
      <c r="C82" s="1175"/>
      <c r="D82" s="1169"/>
      <c r="E82" s="1179"/>
      <c r="F82" s="2564"/>
      <c r="G82" s="2543"/>
      <c r="H82" s="2568" t="s">
        <v>391</v>
      </c>
      <c r="I82" s="2569"/>
      <c r="J82" s="2570"/>
      <c r="K82" s="2570"/>
      <c r="L82" s="2562"/>
      <c r="M82" s="2296"/>
      <c r="N82" s="2042"/>
      <c r="O82" s="2041"/>
      <c r="P82" s="2042"/>
      <c r="Q82" s="2042"/>
      <c r="R82" s="2042"/>
      <c r="S82" s="2042"/>
      <c r="T82" s="2042"/>
      <c r="U82" s="2042"/>
      <c r="V82" s="2042"/>
      <c r="W82" s="2042"/>
      <c r="X82" s="2042"/>
      <c r="Y82" s="2042"/>
      <c r="Z82" s="2042"/>
      <c r="AA82" s="2042"/>
      <c r="AB82" s="2042"/>
      <c r="AC82" s="2042"/>
      <c r="AD82" s="2042"/>
      <c r="AE82" s="2042"/>
      <c r="AF82" s="2566"/>
      <c r="AG82" s="2562"/>
      <c r="AH82" s="2562"/>
      <c r="AI82" s="2566"/>
      <c r="AJ82" s="2562"/>
      <c r="AK82" s="2562"/>
      <c r="AL82" s="1994"/>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row>
    <row s="1644" customFormat="1" customHeight="1" ht="0.75">
      <c r="A83" s="1175"/>
      <c r="B83" s="1175"/>
      <c r="C83" s="1175"/>
      <c r="D83" s="1169"/>
      <c r="E83" s="1179"/>
      <c r="F83" s="2564"/>
      <c r="G83" s="2543"/>
      <c r="H83" s="2568"/>
      <c r="I83" s="2569"/>
      <c r="J83" s="2570"/>
      <c r="K83" s="2570"/>
      <c r="L83" s="2562"/>
      <c r="M83" s="2296"/>
      <c r="N83" s="2571"/>
      <c r="O83" s="2572"/>
      <c r="P83" s="2616"/>
      <c r="Q83" s="2567"/>
      <c r="R83" s="2567"/>
      <c r="S83" s="2567"/>
      <c r="T83" s="2567"/>
      <c r="U83" s="2567"/>
      <c r="V83" s="2567"/>
      <c r="W83" s="2567"/>
      <c r="X83" s="2567"/>
      <c r="Y83" s="2567"/>
      <c r="Z83" s="2043"/>
      <c r="AA83" s="2044"/>
      <c r="AB83" s="2044"/>
      <c r="AC83" s="2045"/>
      <c r="AD83" s="2045"/>
      <c r="AE83" s="2046"/>
      <c r="AF83" s="2566"/>
      <c r="AG83" s="2562"/>
      <c r="AH83" s="2562"/>
      <c r="AI83" s="2566"/>
      <c r="AJ83" s="2562"/>
      <c r="AK83" s="2562"/>
      <c r="AL83" s="1994"/>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row>
    <row s="1644" customFormat="1" customHeight="1" ht="0.75">
      <c r="A84" s="1175"/>
      <c r="B84" s="1175"/>
      <c r="C84" s="1175"/>
      <c r="D84" s="1169"/>
      <c r="E84" s="1179"/>
      <c r="F84" s="2564"/>
      <c r="G84" s="2543"/>
      <c r="H84" s="2568"/>
      <c r="I84" s="2569"/>
      <c r="J84" s="2570"/>
      <c r="K84" s="2570"/>
      <c r="L84" s="2562"/>
      <c r="M84" s="2296"/>
      <c r="N84" s="2571"/>
      <c r="O84" s="2572"/>
      <c r="P84" s="2617"/>
      <c r="Q84" s="2567"/>
      <c r="R84" s="2567"/>
      <c r="S84" s="2567"/>
      <c r="T84" s="2567"/>
      <c r="U84" s="2567"/>
      <c r="V84" s="2567"/>
      <c r="W84" s="2567"/>
      <c r="X84" s="2567"/>
      <c r="Y84" s="2567"/>
      <c r="Z84" s="2047"/>
      <c r="AA84" s="2048"/>
      <c r="AB84" s="2049"/>
      <c r="AC84" s="2050"/>
      <c r="AD84" s="2049"/>
      <c r="AE84" s="2050"/>
      <c r="AF84" s="2566"/>
      <c r="AG84" s="2562"/>
      <c r="AH84" s="2562"/>
      <c r="AI84" s="2566"/>
      <c r="AJ84" s="2562"/>
      <c r="AK84" s="2562"/>
      <c r="AL84" s="1994"/>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row>
    <row s="1644" customFormat="1" customHeight="1" ht="0.75">
      <c r="A85" s="1175"/>
      <c r="B85" s="1175"/>
      <c r="C85" s="1175"/>
      <c r="D85" s="1169"/>
      <c r="E85" s="1179"/>
      <c r="F85" s="2564"/>
      <c r="G85" s="2543"/>
      <c r="H85" s="2568"/>
      <c r="I85" s="2569"/>
      <c r="J85" s="2570"/>
      <c r="K85" s="2570"/>
      <c r="L85" s="2562"/>
      <c r="M85" s="2296"/>
      <c r="N85" s="2571"/>
      <c r="O85" s="2572"/>
      <c r="P85" s="2618"/>
      <c r="Q85" s="2567"/>
      <c r="R85" s="2567"/>
      <c r="S85" s="2567"/>
      <c r="T85" s="2567"/>
      <c r="U85" s="2567"/>
      <c r="V85" s="2567"/>
      <c r="W85" s="2567"/>
      <c r="X85" s="2567"/>
      <c r="Y85" s="2567"/>
      <c r="Z85" s="2043"/>
      <c r="AA85" s="2044"/>
      <c r="AB85" s="2051"/>
      <c r="AC85" s="2045"/>
      <c r="AD85" s="2045"/>
      <c r="AE85" s="2052"/>
      <c r="AF85" s="2566"/>
      <c r="AG85" s="2562"/>
      <c r="AH85" s="2562"/>
      <c r="AI85" s="2566"/>
      <c r="AJ85" s="2562"/>
      <c r="AK85" s="2562"/>
      <c r="AL85" s="1994"/>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row>
    <row s="1644" customFormat="1" customHeight="1" ht="0.75">
      <c r="A86" s="1175"/>
      <c r="B86" s="1175"/>
      <c r="C86" s="1175"/>
      <c r="D86" s="1169"/>
      <c r="E86" s="1179"/>
      <c r="F86" s="2564"/>
      <c r="G86" s="2543"/>
      <c r="H86" s="2568"/>
      <c r="I86" s="2569"/>
      <c r="J86" s="2570"/>
      <c r="K86" s="2570"/>
      <c r="L86" s="2562"/>
      <c r="M86" s="2296"/>
      <c r="N86" s="2044"/>
      <c r="O86" s="2044"/>
      <c r="P86" s="2051"/>
      <c r="Q86" s="2044"/>
      <c r="R86" s="2044"/>
      <c r="S86" s="2044"/>
      <c r="T86" s="2044"/>
      <c r="U86" s="2044"/>
      <c r="V86" s="2044"/>
      <c r="W86" s="2044"/>
      <c r="X86" s="2044"/>
      <c r="Y86" s="2044"/>
      <c r="Z86" s="2044"/>
      <c r="AA86" s="2044"/>
      <c r="AB86" s="2044"/>
      <c r="AC86" s="2044"/>
      <c r="AD86" s="2044"/>
      <c r="AE86" s="2053"/>
      <c r="AF86" s="2566"/>
      <c r="AG86" s="2562"/>
      <c r="AH86" s="2562"/>
      <c r="AI86" s="2566"/>
      <c r="AJ86" s="2562"/>
      <c r="AK86" s="2562"/>
      <c r="AL86" s="1994"/>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row>
    <row s="1644" customFormat="1" customHeight="1" ht="12">
      <c r="A87" s="1175"/>
      <c r="B87" s="1175"/>
      <c r="C87" s="1175"/>
      <c r="D87" s="1169"/>
      <c r="E87" s="1179"/>
      <c r="F87" s="2565"/>
      <c r="G87" s="1199"/>
      <c r="H87" s="1199"/>
      <c r="I87" s="2563" t="s">
        <v>1320</v>
      </c>
      <c r="J87" s="2563"/>
      <c r="K87" s="2563"/>
      <c r="L87" s="1182"/>
      <c r="M87" s="1182"/>
      <c r="N87" s="1183"/>
      <c r="O87" s="1183"/>
      <c r="P87" s="1183"/>
      <c r="Q87" s="1183"/>
      <c r="R87" s="1183"/>
      <c r="S87" s="1183"/>
      <c r="T87" s="1183"/>
      <c r="U87" s="1183"/>
      <c r="V87" s="1183"/>
      <c r="W87" s="1183"/>
      <c r="X87" s="1183"/>
      <c r="Y87" s="1183"/>
      <c r="Z87" s="1183"/>
      <c r="AA87" s="1183"/>
      <c r="AB87" s="1183"/>
      <c r="AC87" s="1183"/>
      <c r="AD87" s="1183"/>
      <c r="AE87" s="1183"/>
      <c r="AF87" s="1183"/>
      <c r="AG87" s="1182"/>
      <c r="AH87" s="1182"/>
      <c r="AI87" s="1183"/>
      <c r="AJ87" s="1182"/>
      <c r="AK87" s="1183"/>
      <c r="AL87" s="1994"/>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row>
    <row r="89" s="1823" customFormat="1" customHeight="1" ht="11.25">
      <c r="A89" s="1823" t="s">
        <v>2171</v>
      </c>
    </row>
    <row r="91" s="1644" customFormat="1" customHeight="1" ht="11.25">
      <c r="A91" s="1175"/>
      <c r="B91" s="1175"/>
      <c r="C91" s="1175"/>
      <c r="D91" s="1169"/>
      <c r="E91" s="1179"/>
      <c r="F91" s="1837"/>
      <c r="G91" s="1838"/>
      <c r="H91" s="1838"/>
      <c r="I91" s="1772"/>
      <c r="J91" s="1772"/>
      <c r="K91" s="1839"/>
      <c r="L91" s="1772"/>
      <c r="M91" s="1838"/>
      <c r="N91" s="2536"/>
      <c r="O91" s="2619">
        <v>1</v>
      </c>
      <c r="P91" s="2538" t="s">
        <v>19</v>
      </c>
      <c r="Q91" s="2541" t="s">
        <v>22</v>
      </c>
      <c r="R91" s="2541" t="s">
        <v>22</v>
      </c>
      <c r="S91" s="2541" t="s">
        <v>22</v>
      </c>
      <c r="T91" s="2541" t="s">
        <v>22</v>
      </c>
      <c r="U91" s="2541" t="s">
        <v>22</v>
      </c>
      <c r="V91" s="2541" t="s">
        <v>22</v>
      </c>
      <c r="W91" s="2541" t="s">
        <v>22</v>
      </c>
      <c r="X91" s="2541" t="s">
        <v>22</v>
      </c>
      <c r="Y91" s="2541"/>
      <c r="Z91" s="1184"/>
      <c r="AA91" s="1185"/>
      <c r="AB91" s="1185"/>
      <c r="AC91" s="1189"/>
      <c r="AD91" s="1189"/>
      <c r="AE91" s="1189"/>
      <c r="AF91" s="2096"/>
      <c r="AG91" s="1767"/>
      <c r="AH91" s="1767"/>
      <c r="AI91" s="2096"/>
      <c r="AJ91" s="1767"/>
      <c r="AK91" s="1993"/>
      <c r="AL91" s="1994"/>
      <c r="AM91" s="1831"/>
      <c r="AN91" s="1831"/>
      <c r="AO91" s="1831"/>
      <c r="AP91" s="1831"/>
      <c r="AQ91" s="1831"/>
      <c r="AR91" s="1831"/>
      <c r="AS91" s="1831"/>
      <c r="AT91" s="1831"/>
      <c r="AU91" s="1831"/>
      <c r="AV91" s="1831"/>
      <c r="AW91" s="1831"/>
      <c r="AX91" s="1831"/>
      <c r="AY91" s="1831"/>
      <c r="AZ91" s="1831"/>
      <c r="BA91" s="1831"/>
      <c r="BB91" s="1831"/>
      <c r="BC91" s="1831"/>
      <c r="BD91" s="1831"/>
      <c r="BE91" s="1831"/>
      <c r="BF91" s="1831"/>
    </row>
    <row s="1644" customFormat="1" customHeight="1" ht="11.25">
      <c r="A92" s="1175"/>
      <c r="B92" s="1175"/>
      <c r="C92" s="1175"/>
      <c r="D92" s="1169"/>
      <c r="E92" s="1179"/>
      <c r="F92" s="1837"/>
      <c r="G92" s="1838"/>
      <c r="H92" s="1838"/>
      <c r="I92" s="1773"/>
      <c r="J92" s="1773"/>
      <c r="K92" s="1839"/>
      <c r="L92" s="1773"/>
      <c r="M92" s="1838"/>
      <c r="N92" s="2536"/>
      <c r="O92" s="2619"/>
      <c r="P92" s="2539"/>
      <c r="Q92" s="2541"/>
      <c r="R92" s="2541"/>
      <c r="S92" s="2542"/>
      <c r="T92" s="2541"/>
      <c r="U92" s="2541"/>
      <c r="V92" s="2541"/>
      <c r="W92" s="2541"/>
      <c r="X92" s="2541"/>
      <c r="Y92" s="2541"/>
      <c r="Z92" s="1836"/>
      <c r="AA92" s="1802">
        <v>1</v>
      </c>
      <c r="AB92" s="1188"/>
      <c r="AC92" s="1178"/>
      <c r="AD92" s="1188">
        <f>AB92</f>
        <v>0</v>
      </c>
      <c r="AE92" s="733"/>
      <c r="AF92" s="2097"/>
      <c r="AG92" s="1767"/>
      <c r="AH92" s="1767"/>
      <c r="AI92" s="2097"/>
      <c r="AJ92" s="1767"/>
      <c r="AK92" s="1993"/>
      <c r="AL92" s="1994"/>
      <c r="AM92" s="1831"/>
      <c r="AN92" s="1831"/>
      <c r="AO92" s="1831"/>
      <c r="AP92" s="1831"/>
      <c r="AQ92" s="1831"/>
      <c r="AR92" s="1831"/>
      <c r="AS92" s="1831"/>
      <c r="AT92" s="1831"/>
      <c r="AU92" s="1831"/>
      <c r="AV92" s="1831"/>
      <c r="AW92" s="1831"/>
      <c r="AX92" s="1831"/>
      <c r="AY92" s="1831"/>
      <c r="AZ92" s="1831"/>
      <c r="BA92" s="1831"/>
      <c r="BB92" s="1831"/>
      <c r="BC92" s="1831"/>
      <c r="BD92" s="1831"/>
      <c r="BE92" s="1831"/>
      <c r="BF92" s="1831"/>
    </row>
    <row s="1644" customFormat="1" customHeight="1" ht="11.25">
      <c r="A93" s="1175"/>
      <c r="B93" s="1175"/>
      <c r="C93" s="1175"/>
      <c r="D93" s="1169"/>
      <c r="E93" s="1179"/>
      <c r="F93" s="1837"/>
      <c r="G93" s="1838"/>
      <c r="H93" s="1838"/>
      <c r="I93" s="1774"/>
      <c r="J93" s="1774"/>
      <c r="K93" s="1839"/>
      <c r="L93" s="1774"/>
      <c r="M93" s="1838"/>
      <c r="N93" s="2536"/>
      <c r="O93" s="2619"/>
      <c r="P93" s="2540"/>
      <c r="Q93" s="2541"/>
      <c r="R93" s="2541"/>
      <c r="S93" s="2542"/>
      <c r="T93" s="2541"/>
      <c r="U93" s="2541"/>
      <c r="V93" s="2541"/>
      <c r="W93" s="2541"/>
      <c r="X93" s="2541"/>
      <c r="Y93" s="2541"/>
      <c r="Z93" s="1184"/>
      <c r="AA93" s="1185"/>
      <c r="AB93" s="1250" t="s">
        <v>1082</v>
      </c>
      <c r="AC93" s="1189"/>
      <c r="AD93" s="1189"/>
      <c r="AE93" s="1189"/>
      <c r="AF93" s="2098"/>
      <c r="AG93" s="1767"/>
      <c r="AH93" s="1767"/>
      <c r="AI93" s="2098"/>
      <c r="AJ93" s="1767"/>
      <c r="AK93" s="1993"/>
      <c r="AL93" s="1994"/>
      <c r="AM93" s="1831"/>
      <c r="AN93" s="1831"/>
      <c r="AO93" s="1831"/>
      <c r="AP93" s="1831"/>
      <c r="AQ93" s="1831"/>
      <c r="AR93" s="1831"/>
      <c r="AS93" s="1831"/>
      <c r="AT93" s="1831"/>
      <c r="AU93" s="1831"/>
      <c r="AV93" s="1831"/>
      <c r="AW93" s="1831"/>
      <c r="AX93" s="1831"/>
      <c r="AY93" s="1831"/>
      <c r="AZ93" s="1831"/>
      <c r="BA93" s="1831"/>
      <c r="BB93" s="1831"/>
      <c r="BC93" s="1831"/>
      <c r="BD93" s="1831"/>
      <c r="BE93" s="1831"/>
      <c r="BF93" s="1831"/>
    </row>
    <row r="95" s="1823" customFormat="1" customHeight="1" ht="11.25">
      <c r="A95" s="1823" t="s">
        <v>2172</v>
      </c>
    </row>
    <row r="97" s="1644" customFormat="1" customHeight="1" ht="11.25">
      <c r="A97" s="1175"/>
      <c r="B97" s="1175"/>
      <c r="C97" s="1175"/>
      <c r="D97" s="1169"/>
      <c r="E97" s="1179"/>
      <c r="F97" s="1838"/>
      <c r="G97" s="1838"/>
      <c r="H97" s="1838"/>
      <c r="I97" s="1838"/>
      <c r="J97" s="1838"/>
      <c r="K97" s="1838"/>
      <c r="L97" s="1838"/>
      <c r="M97" s="1838"/>
      <c r="N97" s="1838"/>
      <c r="O97" s="1838"/>
      <c r="P97" s="1838"/>
      <c r="Q97" s="1838"/>
      <c r="R97" s="1838"/>
      <c r="S97" s="1838"/>
      <c r="T97" s="1838"/>
      <c r="U97" s="1838"/>
      <c r="V97" s="1838"/>
      <c r="W97" s="1838"/>
      <c r="X97" s="1838"/>
      <c r="Y97" s="1838"/>
      <c r="Z97" s="1840"/>
      <c r="AA97" s="1822">
        <v>1</v>
      </c>
      <c r="AB97" s="1188"/>
      <c r="AC97" s="1178"/>
      <c r="AD97" s="1188">
        <f>AB97</f>
        <v>0</v>
      </c>
      <c r="AE97" s="1178"/>
      <c r="AF97" s="2095"/>
      <c r="AG97" s="1767"/>
      <c r="AH97" s="1767"/>
      <c r="AI97" s="2095"/>
      <c r="AJ97" s="1767"/>
      <c r="AK97" s="1993"/>
      <c r="AL97" s="1994"/>
      <c r="AM97" s="1831"/>
      <c r="AN97" s="1831"/>
      <c r="AO97" s="1831"/>
      <c r="AP97" s="1831"/>
      <c r="AQ97" s="1831"/>
      <c r="AR97" s="1831"/>
      <c r="AS97" s="1831"/>
      <c r="AT97" s="1831"/>
      <c r="AU97" s="1831"/>
      <c r="AV97" s="1831"/>
      <c r="AW97" s="1831"/>
      <c r="AX97" s="1831"/>
      <c r="AY97" s="1831"/>
      <c r="AZ97" s="1831"/>
      <c r="BA97" s="1831"/>
      <c r="BB97" s="1831"/>
      <c r="BC97" s="1831"/>
      <c r="BD97" s="1831"/>
      <c r="BE97" s="1831"/>
      <c r="BF97" s="1831"/>
    </row>
    <row r="99" s="1823" customFormat="1" customHeight="1" ht="11.25">
      <c r="A99" s="1823" t="s">
        <v>2173</v>
      </c>
    </row>
    <row r="101" s="1644" customFormat="1" customHeight="1" ht="11.25">
      <c r="A101" s="1175"/>
      <c r="B101" s="1175"/>
      <c r="C101" s="1175"/>
      <c r="D101" s="1169"/>
      <c r="E101" s="1179"/>
      <c r="F101" s="1837"/>
      <c r="G101" s="1838"/>
      <c r="H101" s="2543" t="s">
        <v>118</v>
      </c>
      <c r="I101" s="2544"/>
      <c r="J101" s="2513"/>
      <c r="K101" s="2545"/>
      <c r="L101" s="2135" t="s">
        <v>19</v>
      </c>
      <c r="M101" s="2136"/>
      <c r="N101" s="1992"/>
      <c r="O101" s="1186" t="s">
        <v>391</v>
      </c>
      <c r="P101" s="1187"/>
      <c r="Q101" s="1187"/>
      <c r="R101" s="1187"/>
      <c r="S101" s="1187"/>
      <c r="T101" s="1187"/>
      <c r="U101" s="1187"/>
      <c r="V101" s="1187"/>
      <c r="W101" s="1187"/>
      <c r="X101" s="1187"/>
      <c r="Y101" s="1187"/>
      <c r="Z101" s="1187"/>
      <c r="AA101" s="1187"/>
      <c r="AB101" s="1187"/>
      <c r="AC101" s="1187"/>
      <c r="AD101" s="1187"/>
      <c r="AE101" s="1187"/>
      <c r="AF101" s="2534"/>
      <c r="AG101" s="2535"/>
      <c r="AH101" s="2535"/>
      <c r="AI101" s="2534"/>
      <c r="AJ101" s="2535"/>
      <c r="AK101" s="2535"/>
      <c r="AL101" s="1994"/>
      <c r="AM101" s="1831"/>
      <c r="AN101" s="1831"/>
      <c r="AO101" s="1831"/>
      <c r="AP101" s="1831"/>
      <c r="AQ101" s="1831"/>
      <c r="AR101" s="1831"/>
      <c r="AS101" s="1831"/>
      <c r="AT101" s="1831"/>
      <c r="AU101" s="1831"/>
      <c r="AV101" s="1831"/>
      <c r="AW101" s="1831"/>
      <c r="AX101" s="1831"/>
      <c r="AY101" s="1831"/>
      <c r="AZ101" s="1831"/>
      <c r="BA101" s="1831"/>
      <c r="BB101" s="1831"/>
      <c r="BC101" s="1831"/>
      <c r="BD101" s="1831"/>
      <c r="BE101" s="1831"/>
      <c r="BF101" s="1831"/>
    </row>
    <row s="1644" customFormat="1" customHeight="1" ht="11.25">
      <c r="A102" s="1175"/>
      <c r="B102" s="1175"/>
      <c r="C102" s="1175"/>
      <c r="D102" s="1169"/>
      <c r="E102" s="1179"/>
      <c r="F102" s="1837"/>
      <c r="G102" s="1838"/>
      <c r="H102" s="2543"/>
      <c r="I102" s="2544"/>
      <c r="J102" s="2513"/>
      <c r="K102" s="2545"/>
      <c r="L102" s="2135"/>
      <c r="M102" s="2136"/>
      <c r="N102" s="2536"/>
      <c r="O102" s="2537">
        <v>1</v>
      </c>
      <c r="P102" s="2538" t="s">
        <v>19</v>
      </c>
      <c r="Q102" s="2541" t="s">
        <v>22</v>
      </c>
      <c r="R102" s="2541" t="s">
        <v>22</v>
      </c>
      <c r="S102" s="2541" t="s">
        <v>22</v>
      </c>
      <c r="T102" s="2541" t="s">
        <v>22</v>
      </c>
      <c r="U102" s="2541" t="s">
        <v>22</v>
      </c>
      <c r="V102" s="2541" t="s">
        <v>22</v>
      </c>
      <c r="W102" s="2541" t="s">
        <v>22</v>
      </c>
      <c r="X102" s="2541" t="s">
        <v>22</v>
      </c>
      <c r="Y102" s="2541"/>
      <c r="Z102" s="1184"/>
      <c r="AA102" s="1185"/>
      <c r="AB102" s="1185"/>
      <c r="AC102" s="1189"/>
      <c r="AD102" s="1189"/>
      <c r="AE102" s="1190"/>
      <c r="AF102" s="2534"/>
      <c r="AG102" s="2535"/>
      <c r="AH102" s="2535"/>
      <c r="AI102" s="2534"/>
      <c r="AJ102" s="2535"/>
      <c r="AK102" s="2535"/>
      <c r="AL102" s="1994"/>
      <c r="AM102" s="1831"/>
      <c r="AN102" s="1831"/>
      <c r="AO102" s="1831"/>
      <c r="AP102" s="1831"/>
      <c r="AQ102" s="1831"/>
      <c r="AR102" s="1831"/>
      <c r="AS102" s="1831"/>
      <c r="AT102" s="1831"/>
      <c r="AU102" s="1831"/>
      <c r="AV102" s="1831"/>
      <c r="AW102" s="1831"/>
      <c r="AX102" s="1831"/>
      <c r="AY102" s="1831"/>
      <c r="AZ102" s="1831"/>
      <c r="BA102" s="1831"/>
      <c r="BB102" s="1831"/>
      <c r="BC102" s="1831"/>
      <c r="BD102" s="1831"/>
      <c r="BE102" s="1831"/>
      <c r="BF102" s="1831"/>
    </row>
    <row s="1644" customFormat="1" customHeight="1" ht="11.25">
      <c r="A103" s="1175"/>
      <c r="B103" s="1175"/>
      <c r="C103" s="1175"/>
      <c r="D103" s="1169"/>
      <c r="E103" s="1179"/>
      <c r="F103" s="1837"/>
      <c r="G103" s="1838"/>
      <c r="H103" s="2543"/>
      <c r="I103" s="2544"/>
      <c r="J103" s="2513"/>
      <c r="K103" s="2545"/>
      <c r="L103" s="2135"/>
      <c r="M103" s="2136"/>
      <c r="N103" s="2536"/>
      <c r="O103" s="2537"/>
      <c r="P103" s="2539"/>
      <c r="Q103" s="2541"/>
      <c r="R103" s="2541"/>
      <c r="S103" s="2542"/>
      <c r="T103" s="2541"/>
      <c r="U103" s="2541"/>
      <c r="V103" s="2541"/>
      <c r="W103" s="2541"/>
      <c r="X103" s="2541"/>
      <c r="Y103" s="2541"/>
      <c r="Z103" s="1836"/>
      <c r="AA103" s="1802">
        <v>1</v>
      </c>
      <c r="AB103" s="1188"/>
      <c r="AC103" s="1178"/>
      <c r="AD103" s="1188">
        <f>AB103</f>
        <v>0</v>
      </c>
      <c r="AE103" s="1178"/>
      <c r="AF103" s="2534"/>
      <c r="AG103" s="2535"/>
      <c r="AH103" s="2535"/>
      <c r="AI103" s="2534"/>
      <c r="AJ103" s="2535"/>
      <c r="AK103" s="2535"/>
      <c r="AL103" s="1994"/>
      <c r="AM103" s="1831"/>
      <c r="AN103" s="1831"/>
      <c r="AO103" s="1831"/>
      <c r="AP103" s="1831"/>
      <c r="AQ103" s="1831"/>
      <c r="AR103" s="1831"/>
      <c r="AS103" s="1831"/>
      <c r="AT103" s="1831"/>
      <c r="AU103" s="1831"/>
      <c r="AV103" s="1831"/>
      <c r="AW103" s="1831"/>
      <c r="AX103" s="1831"/>
      <c r="AY103" s="1831"/>
      <c r="AZ103" s="1831"/>
      <c r="BA103" s="1831"/>
      <c r="BB103" s="1831"/>
      <c r="BC103" s="1831"/>
      <c r="BD103" s="1831"/>
      <c r="BE103" s="1831"/>
      <c r="BF103" s="1831"/>
    </row>
    <row s="1644" customFormat="1" customHeight="1" ht="11.25">
      <c r="A104" s="1175"/>
      <c r="B104" s="1175"/>
      <c r="C104" s="1175"/>
      <c r="D104" s="1169"/>
      <c r="E104" s="1179"/>
      <c r="F104" s="1837"/>
      <c r="G104" s="1838"/>
      <c r="H104" s="2543"/>
      <c r="I104" s="2544"/>
      <c r="J104" s="2513"/>
      <c r="K104" s="2545"/>
      <c r="L104" s="2135"/>
      <c r="M104" s="2136"/>
      <c r="N104" s="2536"/>
      <c r="O104" s="2537"/>
      <c r="P104" s="2540"/>
      <c r="Q104" s="2541"/>
      <c r="R104" s="2541"/>
      <c r="S104" s="2542"/>
      <c r="T104" s="2541"/>
      <c r="U104" s="2541"/>
      <c r="V104" s="2541"/>
      <c r="W104" s="2541"/>
      <c r="X104" s="2541"/>
      <c r="Y104" s="2541"/>
      <c r="Z104" s="1184"/>
      <c r="AA104" s="1185"/>
      <c r="AB104" s="1250" t="s">
        <v>1082</v>
      </c>
      <c r="AC104" s="1189"/>
      <c r="AD104" s="1189"/>
      <c r="AE104" s="1191"/>
      <c r="AF104" s="2534"/>
      <c r="AG104" s="2535"/>
      <c r="AH104" s="2535"/>
      <c r="AI104" s="2534"/>
      <c r="AJ104" s="2535"/>
      <c r="AK104" s="2535"/>
      <c r="AL104" s="1994"/>
      <c r="AM104" s="1831"/>
      <c r="AN104" s="1831"/>
      <c r="AO104" s="1831"/>
      <c r="AP104" s="1831"/>
      <c r="AQ104" s="1831"/>
      <c r="AR104" s="1831"/>
      <c r="AS104" s="1831"/>
      <c r="AT104" s="1831"/>
      <c r="AU104" s="1831"/>
      <c r="AV104" s="1831"/>
      <c r="AW104" s="1831"/>
      <c r="AX104" s="1831"/>
      <c r="AY104" s="1831"/>
      <c r="AZ104" s="1831"/>
      <c r="BA104" s="1831"/>
      <c r="BB104" s="1831"/>
      <c r="BC104" s="1831"/>
      <c r="BD104" s="1831"/>
      <c r="BE104" s="1831"/>
      <c r="BF104" s="1831"/>
    </row>
    <row s="1644" customFormat="1" customHeight="1" ht="11.25">
      <c r="A105" s="1175"/>
      <c r="B105" s="1175"/>
      <c r="C105" s="1175"/>
      <c r="D105" s="1169"/>
      <c r="E105" s="1179"/>
      <c r="F105" s="1837"/>
      <c r="G105" s="1838"/>
      <c r="H105" s="2543"/>
      <c r="I105" s="2544"/>
      <c r="J105" s="2513"/>
      <c r="K105" s="2545"/>
      <c r="L105" s="2135"/>
      <c r="M105" s="2136"/>
      <c r="N105" s="1184"/>
      <c r="O105" s="1185"/>
      <c r="P105" s="1177" t="s">
        <v>1083</v>
      </c>
      <c r="Q105" s="1185"/>
      <c r="R105" s="1185"/>
      <c r="S105" s="1185"/>
      <c r="T105" s="1185"/>
      <c r="U105" s="1185"/>
      <c r="V105" s="1185"/>
      <c r="W105" s="1185"/>
      <c r="X105" s="1185"/>
      <c r="Y105" s="1185"/>
      <c r="Z105" s="1185"/>
      <c r="AA105" s="1185"/>
      <c r="AB105" s="1185"/>
      <c r="AC105" s="1185"/>
      <c r="AD105" s="1185"/>
      <c r="AE105" s="1192"/>
      <c r="AF105" s="2534"/>
      <c r="AG105" s="2535"/>
      <c r="AH105" s="2535"/>
      <c r="AI105" s="2534"/>
      <c r="AJ105" s="2535"/>
      <c r="AK105" s="2535"/>
      <c r="AL105" s="1994"/>
      <c r="AM105" s="1831"/>
      <c r="AN105" s="1831"/>
      <c r="AO105" s="1831"/>
      <c r="AP105" s="1831"/>
      <c r="AQ105" s="1831"/>
      <c r="AR105" s="1831"/>
      <c r="AS105" s="1831"/>
      <c r="AT105" s="1831"/>
      <c r="AU105" s="1831"/>
      <c r="AV105" s="1831"/>
      <c r="AW105" s="1831"/>
      <c r="AX105" s="1831"/>
      <c r="AY105" s="1831"/>
      <c r="AZ105" s="1831"/>
      <c r="BA105" s="1831"/>
      <c r="BB105" s="1831"/>
      <c r="BC105" s="1831"/>
      <c r="BD105" s="1831"/>
      <c r="BE105" s="1831"/>
      <c r="BF105" s="1831"/>
    </row>
    <row r="107" s="1823" customFormat="1" customHeight="1" ht="11.25">
      <c r="A107" s="1823" t="s">
        <v>2174</v>
      </c>
    </row>
    <row customHeight="1" ht="17.25"/>
    <row s="934" customFormat="1" customHeight="1" ht="21">
      <c r="A109" s="1176"/>
      <c r="B109" s="949"/>
      <c r="D109" s="933"/>
      <c r="E109" s="948" t="s">
        <v>22</v>
      </c>
      <c r="F109" s="1130">
        <f>INDEX(IP_MAIN_LIST_NAME_IP,MATCH(A109,IP_MAIN_LIST_IP_ID,0))&amp;" ("&amp;INDEX(IP_MAIN_START_DATE,MATCH(A109,IP_MAIN_LIST_IP_ID,0))&amp;"-"&amp;INDEX(IP_MAIN_END_DATE,MATCH(A109,IP_MAIN_LIST_IP_ID,0))&amp;")"</f>
      </c>
      <c r="G109" s="1212"/>
      <c r="H109" s="1213"/>
      <c r="I109" s="1213"/>
      <c r="J109" s="1213"/>
      <c r="K109" s="1213"/>
      <c r="L109" s="1213"/>
      <c r="M109" s="1213"/>
      <c r="N109" s="1213"/>
      <c r="O109" s="1212"/>
      <c r="P109" s="1212"/>
      <c r="Q109" s="1212"/>
      <c r="R109" s="1212"/>
      <c r="S109" s="1212"/>
      <c r="T109" s="1212"/>
      <c r="U109" s="1214"/>
      <c r="V109" s="1214"/>
      <c r="W109" s="1214"/>
      <c r="X109" s="1214"/>
      <c r="Y109" s="1214"/>
      <c r="Z109" s="1214"/>
      <c r="AA109" s="1214"/>
      <c r="AB109" s="1212"/>
      <c r="AC109" s="1213"/>
      <c r="AD109" s="1213"/>
      <c r="AE109" s="1213"/>
      <c r="AF109" s="1213"/>
      <c r="AG109" s="1213"/>
      <c r="AH109" s="1213"/>
      <c r="AI109" s="1213"/>
      <c r="AJ109" s="1213"/>
      <c r="AK109" s="1213"/>
      <c r="AL109" s="1213"/>
      <c r="AM109" s="1213"/>
      <c r="AN109" s="1213"/>
      <c r="AO109" s="1213"/>
      <c r="AP109" s="1213"/>
      <c r="AQ109" s="1213"/>
      <c r="AR109" s="1213"/>
      <c r="AS109" s="1213"/>
      <c r="AT109" s="1213"/>
      <c r="AU109" s="1213"/>
      <c r="AV109" s="1213"/>
      <c r="AW109" s="1213"/>
      <c r="AX109" s="1213"/>
      <c r="AY109" s="1213"/>
      <c r="AZ109" s="1213"/>
      <c r="BA109" s="1213"/>
      <c r="BB109" s="1213"/>
      <c r="BC109" s="1213"/>
      <c r="BD109" s="1213"/>
      <c r="BE109" s="1213"/>
      <c r="BF109" s="1213"/>
      <c r="BG109" s="1213"/>
      <c r="BH109" s="1213"/>
      <c r="BI109" s="1213"/>
      <c r="BJ109" s="1213"/>
      <c r="BK109" s="1213"/>
      <c r="BL109" s="1213"/>
      <c r="BM109" s="1213"/>
      <c r="BN109" s="1213"/>
      <c r="BO109" s="1213"/>
      <c r="BP109" s="1213"/>
      <c r="BQ109" s="1213"/>
      <c r="BR109" s="1213"/>
      <c r="BS109" s="1213"/>
      <c r="BT109" s="1213"/>
      <c r="BU109" s="1213"/>
      <c r="BV109" s="1213"/>
      <c r="BW109" s="1213"/>
      <c r="BX109" s="1213"/>
      <c r="BY109" s="1213"/>
      <c r="BZ109" s="1213"/>
      <c r="CA109" s="1213"/>
      <c r="CB109" s="1213"/>
      <c r="CC109" s="1213"/>
      <c r="CD109" s="1213"/>
      <c r="CE109" s="1213"/>
      <c r="CF109" s="1213"/>
      <c r="CG109" s="1213"/>
      <c r="CH109" s="1213"/>
      <c r="CI109" s="1213"/>
      <c r="CJ109" s="1213"/>
      <c r="CK109" s="1213"/>
      <c r="CL109" s="1215"/>
      <c r="CM109" s="1215"/>
      <c r="CN109" s="1215"/>
      <c r="CO109" s="1215"/>
      <c r="CP109" s="1215"/>
      <c r="CQ109" s="1215"/>
      <c r="CR109" s="1215"/>
      <c r="CS109" s="1215"/>
      <c r="CT109" s="1215"/>
      <c r="CU109" s="1215"/>
      <c r="CV109" s="1215"/>
      <c r="CW109" s="1215"/>
      <c r="CX109" s="1215"/>
      <c r="CY109" s="1215"/>
      <c r="CZ109" s="1215"/>
      <c r="DA109" s="1215"/>
      <c r="DB109" s="1215"/>
      <c r="DC109" s="1215"/>
      <c r="DD109" s="1215"/>
      <c r="DE109" s="1215"/>
      <c r="DF109" s="1215"/>
      <c r="DG109" s="1215"/>
      <c r="DH109" s="1215"/>
      <c r="DI109" s="1215"/>
      <c r="DJ109" s="1215"/>
      <c r="DK109" s="1215"/>
      <c r="DL109" s="1215"/>
      <c r="DM109" s="1215"/>
      <c r="DN109" s="1215"/>
      <c r="DO109" s="1215"/>
      <c r="DP109" s="1215"/>
      <c r="DQ109" s="1215"/>
      <c r="DR109" s="1215"/>
      <c r="DS109" s="1215"/>
      <c r="DT109" s="1215"/>
      <c r="DU109" s="1215"/>
      <c r="DV109" s="1215"/>
      <c r="DW109" s="1215"/>
      <c r="DX109" s="1215"/>
      <c r="DY109" s="1215"/>
      <c r="DZ109" s="1215"/>
      <c r="EA109" s="1215"/>
      <c r="EB109" s="1215"/>
      <c r="EC109" s="1215"/>
      <c r="ED109" s="1215"/>
      <c r="EE109" s="1215"/>
      <c r="EF109" s="1215"/>
      <c r="EG109" s="1215"/>
      <c r="EH109" s="1215"/>
      <c r="EI109" s="1215"/>
      <c r="EJ109" s="1215"/>
      <c r="EK109" s="1215"/>
      <c r="EL109" s="1215"/>
      <c r="EM109" s="1215"/>
      <c r="EN109" s="1215"/>
      <c r="EO109" s="1215"/>
      <c r="EP109" s="1215"/>
      <c r="EQ109" s="1215"/>
      <c r="ER109" s="1215"/>
      <c r="ES109" s="1215"/>
      <c r="ET109" s="1215"/>
      <c r="EU109" s="1215"/>
      <c r="EV109" s="1215"/>
      <c r="EW109" s="1215"/>
      <c r="EX109" s="1215"/>
      <c r="EY109" s="1215"/>
      <c r="EZ109" s="1215"/>
      <c r="FA109" s="1215"/>
      <c r="FB109" s="1215"/>
      <c r="FC109" s="1215"/>
      <c r="FD109" s="1215"/>
      <c r="FE109" s="1215"/>
      <c r="FF109" s="1215"/>
      <c r="FG109" s="1215"/>
      <c r="FH109" s="1215"/>
      <c r="FI109" s="1215"/>
      <c r="FJ109" s="1215"/>
      <c r="FK109" s="1215"/>
      <c r="FL109" s="1215"/>
      <c r="FM109" s="1215"/>
      <c r="FN109" s="1215"/>
      <c r="FO109" s="1215"/>
      <c r="FP109" s="1215"/>
      <c r="FQ109" s="1215"/>
      <c r="FR109" s="1215"/>
      <c r="FS109" s="1215"/>
      <c r="FT109" s="1215"/>
      <c r="FU109" s="1215"/>
      <c r="FV109" s="1216"/>
      <c r="FW109" s="1210"/>
      <c r="FX109" s="1211"/>
    </row>
    <row s="934" customFormat="1" customHeight="1" ht="24.75">
      <c r="B110" s="932"/>
      <c r="C110" s="933"/>
      <c r="D110" s="933"/>
      <c r="E110" s="1841"/>
      <c r="F110" s="1217">
        <v>1</v>
      </c>
      <c r="G110" s="1218"/>
      <c r="H110" s="1219"/>
      <c r="I110" s="1988"/>
      <c r="J110" s="1220"/>
      <c r="K110" s="1220"/>
      <c r="L110" s="1220"/>
      <c r="M110" s="1220"/>
      <c r="N110" s="1220"/>
      <c r="O110" s="1221"/>
      <c r="P110" s="1221"/>
      <c r="Q110" s="1221"/>
      <c r="R110" s="1221"/>
      <c r="S110" s="1221"/>
      <c r="T110" s="1221"/>
      <c r="U110" s="1221"/>
      <c r="V110" s="1221"/>
      <c r="W110" s="1221"/>
      <c r="X110" s="1221"/>
      <c r="Y110" s="1221"/>
      <c r="Z110" s="1221"/>
      <c r="AA110" s="1221"/>
      <c r="AB110" s="1221"/>
      <c r="AC110" s="1220"/>
      <c r="AD110" s="1220"/>
      <c r="AE110" s="1220"/>
      <c r="AF110" s="1220"/>
      <c r="AG110" s="1220"/>
      <c r="AH110" s="1220"/>
      <c r="AI110" s="1220"/>
      <c r="AJ110" s="1220"/>
      <c r="AK110" s="1220"/>
      <c r="AL110" s="1220"/>
      <c r="AM110" s="1220"/>
      <c r="AN110" s="1220"/>
      <c r="AO110" s="1220"/>
      <c r="AP110" s="1220"/>
      <c r="AQ110" s="1220"/>
      <c r="AR110" s="1220"/>
      <c r="AS110" s="1220"/>
      <c r="AT110" s="1220"/>
      <c r="AU110" s="1220"/>
      <c r="AV110" s="1220"/>
      <c r="AW110" s="1220"/>
      <c r="AX110" s="1220"/>
      <c r="AY110" s="1220"/>
      <c r="AZ110" s="1220"/>
      <c r="BA110" s="1220"/>
      <c r="BB110" s="1220"/>
      <c r="BC110" s="1220"/>
      <c r="BD110" s="1220"/>
      <c r="BE110" s="1220"/>
      <c r="BF110" s="1220"/>
      <c r="BG110" s="1220"/>
      <c r="BH110" s="1220"/>
      <c r="BI110" s="1220"/>
      <c r="BJ110" s="1220"/>
      <c r="BK110" s="1220"/>
      <c r="BL110" s="1220"/>
      <c r="BM110" s="1220"/>
      <c r="BN110" s="1220"/>
      <c r="BO110" s="1220"/>
      <c r="BP110" s="1220"/>
      <c r="BQ110" s="1220"/>
      <c r="BR110" s="1220"/>
      <c r="BS110" s="1220"/>
      <c r="BT110" s="1221"/>
      <c r="BU110" s="1221"/>
      <c r="BV110" s="1221"/>
      <c r="BW110" s="1221"/>
      <c r="BX110" s="1221"/>
      <c r="BY110" s="1221"/>
      <c r="BZ110" s="1221"/>
      <c r="CA110" s="1221"/>
      <c r="CB110" s="1221"/>
      <c r="CC110" s="1221"/>
      <c r="CD110" s="1221"/>
      <c r="CE110" s="1221"/>
      <c r="CF110" s="1221"/>
      <c r="CG110" s="1221"/>
      <c r="CH110" s="1221"/>
      <c r="CI110" s="1221"/>
      <c r="CJ110" s="1221"/>
      <c r="CK110" s="1221"/>
      <c r="CL110" s="1220"/>
      <c r="CM110" s="1220"/>
      <c r="CN110" s="1220"/>
      <c r="CO110" s="1220"/>
      <c r="CP110" s="1220"/>
      <c r="CQ110" s="1220"/>
      <c r="CR110" s="1220"/>
      <c r="CS110" s="1220"/>
      <c r="CT110" s="1220"/>
      <c r="CU110" s="1220"/>
      <c r="CV110" s="1220"/>
      <c r="CW110" s="1220"/>
      <c r="CX110" s="1220"/>
      <c r="CY110" s="1221"/>
      <c r="CZ110" s="1221"/>
      <c r="DA110" s="1221"/>
      <c r="DB110" s="1221"/>
      <c r="DC110" s="1221"/>
      <c r="DD110" s="1221"/>
      <c r="DE110" s="1221"/>
      <c r="DF110" s="1221"/>
      <c r="DG110" s="1221"/>
      <c r="DH110" s="1221"/>
      <c r="DI110" s="1221"/>
      <c r="DJ110" s="1221"/>
      <c r="DK110" s="1220"/>
      <c r="DL110" s="1220"/>
      <c r="DM110" s="1220"/>
      <c r="DN110" s="1220"/>
      <c r="DO110" s="1220"/>
      <c r="DP110" s="1220"/>
      <c r="DQ110" s="1220"/>
      <c r="DR110" s="1220"/>
      <c r="DS110" s="1220"/>
      <c r="DT110" s="1220"/>
      <c r="DU110" s="1220"/>
      <c r="DV110" s="1220"/>
      <c r="DW110" s="1220"/>
      <c r="DX110" s="1220"/>
      <c r="DY110" s="1220"/>
      <c r="DZ110" s="1220"/>
      <c r="EA110" s="1220"/>
      <c r="EB110" s="1220"/>
      <c r="EC110" s="1220"/>
      <c r="ED110" s="1220"/>
      <c r="EE110" s="1220"/>
      <c r="EF110" s="1220"/>
      <c r="EG110" s="1220"/>
      <c r="EH110" s="1220"/>
      <c r="EI110" s="1220"/>
      <c r="EJ110" s="1220"/>
      <c r="EK110" s="1220"/>
      <c r="EL110" s="1220"/>
      <c r="EM110" s="1220"/>
      <c r="EN110" s="1220"/>
      <c r="EO110" s="1220"/>
      <c r="EP110" s="1220"/>
      <c r="EQ110" s="1220"/>
      <c r="ER110" s="1220"/>
      <c r="ES110" s="1220"/>
      <c r="ET110" s="1220"/>
      <c r="EU110" s="1220"/>
      <c r="EV110" s="1220"/>
      <c r="EW110" s="1220"/>
      <c r="EX110" s="1220"/>
      <c r="EY110" s="1220"/>
      <c r="EZ110" s="1220"/>
      <c r="FA110" s="1220"/>
      <c r="FB110" s="1220"/>
      <c r="FC110" s="1220"/>
      <c r="FD110" s="1220"/>
      <c r="FE110" s="1220"/>
      <c r="FF110" s="1220"/>
      <c r="FG110" s="1220"/>
      <c r="FH110" s="1220"/>
      <c r="FI110" s="1220"/>
      <c r="FJ110" s="1220"/>
      <c r="FK110" s="1220"/>
      <c r="FL110" s="1220"/>
      <c r="FM110" s="1220"/>
      <c r="FN110" s="1220"/>
      <c r="FO110" s="1220"/>
      <c r="FP110" s="1220"/>
      <c r="FQ110" s="1220"/>
      <c r="FR110" s="1220"/>
      <c r="FS110" s="1220"/>
      <c r="FT110" s="1220"/>
      <c r="FU110" s="1220"/>
      <c r="FV110" s="1220"/>
      <c r="FW110" s="1220"/>
      <c r="FX110" s="1211"/>
    </row>
    <row s="934" customFormat="1" customHeight="1" ht="12">
      <c r="A111" s="933"/>
      <c r="B111" s="932"/>
      <c r="C111" s="933"/>
      <c r="D111" s="933"/>
      <c r="E111" s="933"/>
      <c r="F111" s="1222"/>
      <c r="G111" s="1808" t="s">
        <v>1423</v>
      </c>
      <c r="H111" s="1223"/>
      <c r="I111" s="1223"/>
      <c r="J111" s="1223"/>
      <c r="K111" s="1223"/>
      <c r="L111" s="1223"/>
      <c r="M111" s="1223"/>
      <c r="N111" s="1223"/>
      <c r="O111" s="1223"/>
      <c r="P111" s="1223"/>
      <c r="Q111" s="1223"/>
      <c r="R111" s="1223"/>
      <c r="S111" s="1223"/>
      <c r="T111" s="1223"/>
      <c r="U111" s="1223"/>
      <c r="V111" s="1223"/>
      <c r="W111" s="1223"/>
      <c r="X111" s="1223"/>
      <c r="Y111" s="1223"/>
      <c r="Z111" s="1223"/>
      <c r="AA111" s="1223"/>
      <c r="AB111" s="1223"/>
      <c r="AC111" s="1223"/>
      <c r="AD111" s="1223"/>
      <c r="AE111" s="1223"/>
      <c r="AF111" s="1223"/>
      <c r="AG111" s="1223"/>
      <c r="AH111" s="1223"/>
      <c r="AI111" s="1223"/>
      <c r="AJ111" s="1223"/>
      <c r="AK111" s="1223"/>
      <c r="AL111" s="1223"/>
      <c r="AM111" s="1223"/>
      <c r="AN111" s="1223"/>
      <c r="AO111" s="1223"/>
      <c r="AP111" s="1223"/>
      <c r="AQ111" s="1223"/>
      <c r="AR111" s="1223"/>
      <c r="AS111" s="1223"/>
      <c r="AT111" s="1223"/>
      <c r="AU111" s="1223"/>
      <c r="AV111" s="1223"/>
      <c r="AW111" s="1223"/>
      <c r="AX111" s="1223"/>
      <c r="AY111" s="1223"/>
      <c r="AZ111" s="1223"/>
      <c r="BA111" s="1223"/>
      <c r="BB111" s="1223"/>
      <c r="BC111" s="1223"/>
      <c r="BD111" s="1223"/>
      <c r="BE111" s="1223"/>
      <c r="BF111" s="1223"/>
      <c r="BG111" s="1223"/>
      <c r="BH111" s="1223"/>
      <c r="BI111" s="1223"/>
      <c r="BJ111" s="1223"/>
      <c r="BK111" s="1223"/>
      <c r="BL111" s="1223"/>
      <c r="BM111" s="1223"/>
      <c r="BN111" s="1223"/>
      <c r="BO111" s="1223"/>
      <c r="BP111" s="1223"/>
      <c r="BQ111" s="1223"/>
      <c r="BR111" s="1223"/>
      <c r="BS111" s="1223"/>
      <c r="BT111" s="1223"/>
      <c r="BU111" s="1223"/>
      <c r="BV111" s="1223"/>
      <c r="BW111" s="1223"/>
      <c r="BX111" s="1223"/>
      <c r="BY111" s="1223"/>
      <c r="BZ111" s="1223"/>
      <c r="CA111" s="1223"/>
      <c r="CB111" s="1223"/>
      <c r="CC111" s="1223"/>
      <c r="CD111" s="1223"/>
      <c r="CE111" s="1223"/>
      <c r="CF111" s="1223"/>
      <c r="CG111" s="1223"/>
      <c r="CH111" s="1223"/>
      <c r="CI111" s="1223"/>
      <c r="CJ111" s="1223"/>
      <c r="CK111" s="1223"/>
      <c r="CL111" s="1223"/>
      <c r="CM111" s="1223"/>
      <c r="CN111" s="1223"/>
      <c r="CO111" s="1223"/>
      <c r="CP111" s="1223"/>
      <c r="CQ111" s="1223"/>
      <c r="CR111" s="1223"/>
      <c r="CS111" s="1223"/>
      <c r="CT111" s="1223"/>
      <c r="CU111" s="1223"/>
      <c r="CV111" s="1223"/>
      <c r="CW111" s="1223"/>
      <c r="CX111" s="1223"/>
      <c r="CY111" s="1223"/>
      <c r="CZ111" s="1223"/>
      <c r="DA111" s="1223"/>
      <c r="DB111" s="1223"/>
      <c r="DC111" s="1223"/>
      <c r="DD111" s="1223"/>
      <c r="DE111" s="1223"/>
      <c r="DF111" s="1223"/>
      <c r="DG111" s="1223"/>
      <c r="DH111" s="1223"/>
      <c r="DI111" s="1223"/>
      <c r="DJ111" s="1223"/>
      <c r="DK111" s="1223"/>
      <c r="DL111" s="1223"/>
      <c r="DM111" s="1223"/>
      <c r="DN111" s="1223"/>
      <c r="DO111" s="1223"/>
      <c r="DP111" s="1223"/>
      <c r="DQ111" s="1223"/>
      <c r="DR111" s="1223"/>
      <c r="DS111" s="1223"/>
      <c r="DT111" s="1223"/>
      <c r="DU111" s="1223"/>
      <c r="DV111" s="1223"/>
      <c r="DW111" s="1223"/>
      <c r="DX111" s="1223"/>
      <c r="DY111" s="1223"/>
      <c r="DZ111" s="1223"/>
      <c r="EA111" s="1223"/>
      <c r="EB111" s="1223"/>
      <c r="EC111" s="1223"/>
      <c r="ED111" s="1223"/>
      <c r="EE111" s="1223"/>
      <c r="EF111" s="1223"/>
      <c r="EG111" s="1223"/>
      <c r="EH111" s="1223"/>
      <c r="EI111" s="1223"/>
      <c r="EJ111" s="1223"/>
      <c r="EK111" s="1223"/>
      <c r="EL111" s="1223"/>
      <c r="EM111" s="1223"/>
      <c r="EN111" s="1223"/>
      <c r="EO111" s="1223"/>
      <c r="EP111" s="1223"/>
      <c r="EQ111" s="1223"/>
      <c r="ER111" s="1223"/>
      <c r="ES111" s="1223"/>
      <c r="ET111" s="1223"/>
      <c r="EU111" s="1223"/>
      <c r="EV111" s="1223"/>
      <c r="EW111" s="1223"/>
      <c r="EX111" s="1223"/>
      <c r="EY111" s="1223"/>
      <c r="EZ111" s="1223"/>
      <c r="FA111" s="1223"/>
      <c r="FB111" s="1223"/>
      <c r="FC111" s="1223"/>
      <c r="FD111" s="1223"/>
      <c r="FE111" s="1223"/>
      <c r="FF111" s="1223"/>
      <c r="FG111" s="1223"/>
      <c r="FH111" s="1223"/>
      <c r="FI111" s="1223"/>
      <c r="FJ111" s="1223"/>
      <c r="FK111" s="1223"/>
      <c r="FL111" s="1223"/>
      <c r="FM111" s="1223"/>
      <c r="FN111" s="1223"/>
      <c r="FO111" s="1223"/>
      <c r="FP111" s="1223"/>
      <c r="FQ111" s="1223"/>
      <c r="FR111" s="1223"/>
      <c r="FS111" s="1223"/>
      <c r="FT111" s="1223"/>
      <c r="FU111" s="1223"/>
      <c r="FV111" s="1223"/>
      <c r="FW111" s="1224"/>
      <c r="FX111" s="1225"/>
      <c r="FY111" s="950"/>
      <c r="FZ111" s="950"/>
      <c r="GA111" s="950"/>
      <c r="GB111" s="950"/>
    </row>
    <row r="113" s="1823" customFormat="1" customHeight="1" ht="11.25">
      <c r="A113" s="1823" t="s">
        <v>2175</v>
      </c>
    </row>
    <row r="115" s="1856" customFormat="1" customHeight="1" ht="15">
      <c r="A115" s="632"/>
      <c r="B115" s="633"/>
      <c r="C115" s="633"/>
      <c r="D115" s="2606" t="s">
        <v>118</v>
      </c>
      <c r="E115" s="2405" t="s">
        <v>114</v>
      </c>
      <c r="F115" s="2406"/>
      <c r="G115" s="2407"/>
      <c r="H115" s="2411" t="str">
        <f>IF(A115="","",INDEX(DIFFERENTIATION_UNMERGE_VD,MATCH(A115,DIFFERENTIATION_ID_DIFF,0)))</f>
        <v/>
      </c>
      <c r="I115" s="2411"/>
      <c r="J115" s="2411"/>
      <c r="K115" s="2411"/>
      <c r="L115" s="2411"/>
      <c r="M115" s="2411"/>
      <c r="N115" s="2411"/>
      <c r="O115" s="2411"/>
      <c r="P115" s="2411"/>
      <c r="Q115" s="2411"/>
      <c r="R115" s="2411"/>
      <c r="S115" s="728"/>
      <c r="T115" s="725"/>
      <c r="U115" s="634"/>
      <c r="V115" s="634"/>
      <c r="W115" s="635"/>
      <c r="X115" s="635"/>
      <c r="Y115" s="635"/>
      <c r="Z115" s="635"/>
      <c r="AA115" s="636"/>
      <c r="AB115" s="637"/>
      <c r="AC115" s="2403"/>
      <c r="AD115" s="638"/>
      <c r="AE115" s="639" t="s">
        <v>22</v>
      </c>
      <c r="AF115" s="639"/>
      <c r="AG115" s="640" t="s">
        <v>629</v>
      </c>
      <c r="AH115" s="641">
        <v>3</v>
      </c>
      <c r="AI115" s="634"/>
      <c r="AJ115" s="634"/>
      <c r="AK115" s="634"/>
      <c r="AL115" s="634"/>
      <c r="AM115" s="634"/>
      <c r="AN115" s="634"/>
      <c r="AO115" s="634"/>
      <c r="AP115" s="634"/>
      <c r="AQ115" s="634"/>
      <c r="AR115" s="634"/>
      <c r="AS115" s="634"/>
      <c r="AT115" s="634"/>
      <c r="AU115" s="634"/>
      <c r="AV115" s="634"/>
      <c r="AW115" s="634"/>
      <c r="AX115" s="634"/>
      <c r="AY115" s="634"/>
      <c r="AZ115" s="634"/>
      <c r="BA115" s="634"/>
      <c r="BB115" s="634"/>
      <c r="BC115" s="634"/>
      <c r="BD115" s="634"/>
      <c r="BE115" s="634"/>
      <c r="BF115" s="634"/>
      <c r="BG115" s="634"/>
      <c r="BH115" s="634"/>
      <c r="BI115" s="634"/>
      <c r="BJ115" s="634"/>
      <c r="BK115" s="634"/>
      <c r="BL115" s="634"/>
      <c r="BM115" s="634"/>
      <c r="BN115" s="634"/>
      <c r="BO115" s="634"/>
      <c r="BP115" s="634"/>
      <c r="BQ115" s="634"/>
      <c r="BR115" s="634"/>
      <c r="BS115" s="634"/>
      <c r="BT115" s="634"/>
      <c r="BU115" s="634"/>
      <c r="BV115" s="635"/>
      <c r="BW115" s="635"/>
      <c r="BX115" s="635"/>
      <c r="BY115" s="635"/>
      <c r="BZ115" s="635"/>
      <c r="CA115" s="635"/>
      <c r="CB115" s="635"/>
      <c r="CC115" s="635"/>
      <c r="CD115" s="635"/>
      <c r="CE115" s="635"/>
    </row>
    <row s="1856" customFormat="1" customHeight="1" ht="15">
      <c r="A116" s="632"/>
      <c r="B116" s="633"/>
      <c r="C116" s="633"/>
      <c r="D116" s="2607"/>
      <c r="E116" s="2405" t="s">
        <v>577</v>
      </c>
      <c r="F116" s="2406"/>
      <c r="G116" s="2407"/>
      <c r="H116" s="2411" t="str">
        <f>IF(A115="","",INDEX(DIFFERENTIATION_UNMERGE_AREA,MATCH(A115,DIFFERENTIATION_ID_DIFF,0)))</f>
        <v/>
      </c>
      <c r="I116" s="2411"/>
      <c r="J116" s="2411"/>
      <c r="K116" s="2411"/>
      <c r="L116" s="2411"/>
      <c r="M116" s="2411"/>
      <c r="N116" s="2411"/>
      <c r="O116" s="2411"/>
      <c r="P116" s="2411"/>
      <c r="Q116" s="2411"/>
      <c r="R116" s="2411"/>
      <c r="S116" s="728"/>
      <c r="T116" s="725"/>
      <c r="U116" s="634"/>
      <c r="V116" s="634"/>
      <c r="W116" s="635"/>
      <c r="X116" s="635"/>
      <c r="Y116" s="635"/>
      <c r="Z116" s="635"/>
      <c r="AA116" s="636"/>
      <c r="AB116" s="637"/>
      <c r="AC116" s="2403"/>
      <c r="AD116" s="638"/>
      <c r="AE116" s="639"/>
      <c r="AF116" s="639"/>
      <c r="AG116" s="640"/>
      <c r="AH116" s="641"/>
      <c r="AI116" s="634"/>
      <c r="AJ116" s="634"/>
      <c r="AK116" s="634"/>
      <c r="AL116" s="634"/>
      <c r="AM116" s="634"/>
      <c r="AN116" s="634"/>
      <c r="AO116" s="634"/>
      <c r="AP116" s="634"/>
      <c r="AQ116" s="634"/>
      <c r="AR116" s="634"/>
      <c r="AS116" s="634"/>
      <c r="AT116" s="634"/>
      <c r="AU116" s="634"/>
      <c r="AV116" s="634"/>
      <c r="AW116" s="634"/>
      <c r="AX116" s="634"/>
      <c r="AY116" s="634"/>
      <c r="AZ116" s="634"/>
      <c r="BA116" s="634"/>
      <c r="BB116" s="634"/>
      <c r="BC116" s="634"/>
      <c r="BD116" s="634"/>
      <c r="BE116" s="634"/>
      <c r="BF116" s="634"/>
      <c r="BG116" s="634"/>
      <c r="BH116" s="634"/>
      <c r="BI116" s="634"/>
      <c r="BJ116" s="634"/>
      <c r="BK116" s="634"/>
      <c r="BL116" s="634"/>
      <c r="BM116" s="634"/>
      <c r="BN116" s="634"/>
      <c r="BO116" s="634"/>
      <c r="BP116" s="634"/>
      <c r="BQ116" s="634"/>
      <c r="BR116" s="634"/>
      <c r="BS116" s="634"/>
      <c r="BT116" s="634"/>
      <c r="BU116" s="634"/>
      <c r="BV116" s="635"/>
      <c r="BW116" s="635"/>
      <c r="BX116" s="635"/>
      <c r="BY116" s="635"/>
      <c r="BZ116" s="635"/>
      <c r="CA116" s="635"/>
      <c r="CB116" s="635"/>
      <c r="CC116" s="635"/>
      <c r="CD116" s="635"/>
      <c r="CE116" s="635"/>
    </row>
    <row s="1856" customFormat="1" customHeight="1" ht="15">
      <c r="A117" s="632"/>
      <c r="B117" s="633"/>
      <c r="C117" s="633"/>
      <c r="D117" s="2607"/>
      <c r="E117" s="2405" t="s">
        <v>578</v>
      </c>
      <c r="F117" s="2406"/>
      <c r="G117" s="2407"/>
      <c r="H117" s="2411" t="str">
        <f>IF(A115="","",INDEX(DIFFERENTIATION_UNMERGE_SYSTEM,MATCH(A115,DIFFERENTIATION_ID_DIFF,0)))</f>
        <v/>
      </c>
      <c r="I117" s="2411"/>
      <c r="J117" s="2411"/>
      <c r="K117" s="2411"/>
      <c r="L117" s="2411"/>
      <c r="M117" s="2411"/>
      <c r="N117" s="2411"/>
      <c r="O117" s="2411"/>
      <c r="P117" s="2411"/>
      <c r="Q117" s="2411"/>
      <c r="R117" s="2411"/>
      <c r="S117" s="728"/>
      <c r="T117" s="725"/>
      <c r="U117" s="634"/>
      <c r="V117" s="634"/>
      <c r="W117" s="635"/>
      <c r="X117" s="635"/>
      <c r="Y117" s="635"/>
      <c r="Z117" s="635"/>
      <c r="AA117" s="636"/>
      <c r="AB117" s="637"/>
      <c r="AC117" s="2403"/>
      <c r="AD117" s="638"/>
      <c r="AE117" s="639"/>
      <c r="AF117" s="639"/>
      <c r="AG117" s="640"/>
      <c r="AH117" s="641"/>
      <c r="AI117" s="634"/>
      <c r="AJ117" s="634"/>
      <c r="AK117" s="634"/>
      <c r="AL117" s="634"/>
      <c r="AM117" s="634"/>
      <c r="AN117" s="634"/>
      <c r="AO117" s="634"/>
      <c r="AP117" s="634"/>
      <c r="AQ117" s="634"/>
      <c r="AR117" s="634"/>
      <c r="AS117" s="634"/>
      <c r="AT117" s="634"/>
      <c r="AU117" s="634"/>
      <c r="AV117" s="634"/>
      <c r="AW117" s="634"/>
      <c r="AX117" s="634"/>
      <c r="AY117" s="634"/>
      <c r="AZ117" s="634"/>
      <c r="BA117" s="634"/>
      <c r="BB117" s="634"/>
      <c r="BC117" s="634"/>
      <c r="BD117" s="634"/>
      <c r="BE117" s="634"/>
      <c r="BF117" s="634"/>
      <c r="BG117" s="634"/>
      <c r="BH117" s="634"/>
      <c r="BI117" s="634"/>
      <c r="BJ117" s="634"/>
      <c r="BK117" s="634"/>
      <c r="BL117" s="634"/>
      <c r="BM117" s="634"/>
      <c r="BN117" s="634"/>
      <c r="BO117" s="634"/>
      <c r="BP117" s="634"/>
      <c r="BQ117" s="634"/>
      <c r="BR117" s="634"/>
      <c r="BS117" s="634"/>
      <c r="BT117" s="634"/>
      <c r="BU117" s="634"/>
      <c r="BV117" s="635"/>
      <c r="BW117" s="635"/>
      <c r="BX117" s="635"/>
      <c r="BY117" s="635"/>
      <c r="BZ117" s="635"/>
      <c r="CA117" s="635"/>
      <c r="CB117" s="635"/>
      <c r="CC117" s="635"/>
      <c r="CD117" s="635"/>
      <c r="CE117" s="635"/>
    </row>
    <row s="1856" customFormat="1" customHeight="1" ht="24.75">
      <c r="A118" s="1814"/>
      <c r="B118" s="1169"/>
      <c r="C118" s="421"/>
      <c r="D118" s="2607"/>
      <c r="E118" s="2404" t="s">
        <v>630</v>
      </c>
      <c r="F118" s="2404"/>
      <c r="G118" s="2404"/>
      <c r="H118" s="2404"/>
      <c r="I118" s="2404"/>
      <c r="J118" s="2404"/>
      <c r="K118" s="2404"/>
      <c r="L118" s="2404"/>
      <c r="M118" s="2404"/>
      <c r="N118" s="2404"/>
      <c r="O118" s="2404"/>
      <c r="P118" s="2404"/>
      <c r="Q118" s="567">
        <f>SUMIF(T119:T120,"i",Q119:Q120)</f>
        <v>0</v>
      </c>
      <c r="R118" s="1026"/>
      <c r="S118" s="1806" t="s">
        <v>631</v>
      </c>
      <c r="T118" s="726" t="s">
        <v>632</v>
      </c>
      <c r="U118" s="2402">
        <v>1</v>
      </c>
      <c r="V118" s="2402">
        <f>INDEX(B_FHD_FLAG_INDEX_1,1,MATCH(A115,B_FHD_FLAG_DIFFERENTIATION,0))</f>
      </c>
      <c r="W118" s="1169"/>
      <c r="X118" s="1169"/>
      <c r="Y118" s="1169"/>
      <c r="Z118" s="1169"/>
      <c r="AA118" s="1645"/>
      <c r="AB118" s="1169"/>
      <c r="AC118" s="2403"/>
      <c r="AD118" s="638"/>
      <c r="AE118" s="1169"/>
      <c r="AF118" s="1169"/>
      <c r="AG118" s="1645"/>
      <c r="AH118" s="1645"/>
      <c r="AI118" s="1645"/>
      <c r="AJ118" s="1645"/>
      <c r="AK118" s="1645"/>
      <c r="AL118" s="1645"/>
      <c r="AM118" s="1645"/>
      <c r="AN118" s="1645"/>
      <c r="AO118" s="1645"/>
      <c r="AP118" s="1645"/>
      <c r="AQ118" s="1645"/>
      <c r="AR118" s="1645"/>
      <c r="AS118" s="1645"/>
      <c r="AT118" s="1645"/>
      <c r="AU118" s="1645"/>
      <c r="AV118" s="1645"/>
      <c r="AW118" s="1645"/>
      <c r="AX118" s="1645"/>
      <c r="AY118" s="1645"/>
      <c r="AZ118" s="1645"/>
      <c r="BA118" s="1645"/>
      <c r="BB118" s="1645"/>
      <c r="BC118" s="1645"/>
      <c r="BD118" s="1645"/>
      <c r="BE118" s="1645"/>
      <c r="BF118" s="1645"/>
      <c r="BG118" s="1645"/>
      <c r="BH118" s="1645"/>
      <c r="BI118" s="1645"/>
      <c r="BJ118" s="1645"/>
      <c r="BK118" s="1645"/>
      <c r="BL118" s="1645"/>
      <c r="BM118" s="1645"/>
      <c r="BN118" s="1645"/>
      <c r="BO118" s="1645"/>
      <c r="BP118" s="1645"/>
      <c r="BQ118" s="1645"/>
      <c r="BR118" s="1645"/>
      <c r="BS118" s="1645"/>
      <c r="BT118" s="1645"/>
      <c r="BU118" s="1645"/>
      <c r="BV118" s="1169"/>
      <c r="BW118" s="1169"/>
      <c r="BX118" s="1169"/>
      <c r="BY118" s="1169"/>
      <c r="BZ118" s="1169"/>
      <c r="CA118" s="1169"/>
      <c r="CB118" s="1169"/>
      <c r="CC118" s="1169"/>
      <c r="CD118" s="1169"/>
      <c r="CE118" s="1169"/>
    </row>
    <row s="1856" customFormat="1" customHeight="1" ht="11.25" hidden="1">
      <c r="A119" s="1801"/>
      <c r="B119" s="1645"/>
      <c r="C119" s="1645"/>
      <c r="D119" s="2607"/>
      <c r="E119" s="644"/>
      <c r="F119" s="644">
        <v>0</v>
      </c>
      <c r="G119" s="644"/>
      <c r="H119" s="644"/>
      <c r="I119" s="644"/>
      <c r="J119" s="644"/>
      <c r="K119" s="644"/>
      <c r="L119" s="644"/>
      <c r="M119" s="644"/>
      <c r="N119" s="644"/>
      <c r="O119" s="644"/>
      <c r="P119" s="644"/>
      <c r="Q119" s="644"/>
      <c r="R119" s="644"/>
      <c r="S119" s="645"/>
      <c r="T119" s="727"/>
      <c r="U119" s="2402"/>
      <c r="V119" s="2402"/>
      <c r="W119" s="1645"/>
      <c r="X119" s="1645"/>
      <c r="Y119" s="1645"/>
      <c r="Z119" s="1645"/>
      <c r="AA119" s="1645"/>
      <c r="AB119" s="1169"/>
      <c r="AC119" s="2403"/>
      <c r="AD119" s="638"/>
      <c r="AE119" s="1169"/>
      <c r="AF119" s="1169"/>
      <c r="AG119" s="1645"/>
      <c r="AH119" s="1645"/>
      <c r="AI119" s="1645"/>
      <c r="AJ119" s="1645"/>
      <c r="AK119" s="1645"/>
      <c r="AL119" s="1645"/>
      <c r="AM119" s="1645"/>
      <c r="AN119" s="1645"/>
      <c r="AO119" s="1645"/>
      <c r="AP119" s="1645"/>
      <c r="AQ119" s="1645"/>
      <c r="AR119" s="1645"/>
      <c r="AS119" s="1645"/>
      <c r="AT119" s="1645"/>
      <c r="AU119" s="1645"/>
      <c r="AV119" s="1645"/>
      <c r="AW119" s="1645"/>
      <c r="AX119" s="1645"/>
      <c r="AY119" s="1645"/>
      <c r="AZ119" s="1645"/>
      <c r="BA119" s="1645"/>
      <c r="BB119" s="1645"/>
      <c r="BC119" s="1645"/>
      <c r="BD119" s="1645"/>
      <c r="BE119" s="1645"/>
      <c r="BF119" s="1645"/>
      <c r="BG119" s="1645"/>
      <c r="BH119" s="1645"/>
      <c r="BI119" s="1645"/>
      <c r="BJ119" s="1645"/>
      <c r="BK119" s="1645"/>
      <c r="BL119" s="1645"/>
      <c r="BM119" s="1645"/>
      <c r="BN119" s="1645"/>
      <c r="BO119" s="1645"/>
      <c r="BP119" s="1645"/>
      <c r="BQ119" s="1645"/>
      <c r="BR119" s="1645"/>
      <c r="BS119" s="1645"/>
      <c r="BT119" s="1645"/>
      <c r="BU119" s="1645"/>
      <c r="BV119" s="1645"/>
      <c r="BW119" s="1645"/>
      <c r="BX119" s="1645"/>
      <c r="BY119" s="1645"/>
      <c r="BZ119" s="1645"/>
      <c r="CA119" s="1645"/>
      <c r="CB119" s="1645"/>
      <c r="CC119" s="1645"/>
      <c r="CD119" s="1645"/>
      <c r="CE119" s="1645"/>
    </row>
    <row s="1856" customFormat="1" customHeight="1" ht="11.25">
      <c r="A120" s="1814"/>
      <c r="B120" s="1169"/>
      <c r="C120" s="421"/>
      <c r="D120" s="2607"/>
      <c r="E120" s="658" t="s">
        <v>22</v>
      </c>
      <c r="F120" s="1177" t="s">
        <v>22</v>
      </c>
      <c r="G120" s="1177" t="s">
        <v>635</v>
      </c>
      <c r="H120" s="660" t="s">
        <v>22</v>
      </c>
      <c r="I120" s="660"/>
      <c r="J120" s="660"/>
      <c r="K120" s="660"/>
      <c r="L120" s="660"/>
      <c r="M120" s="660"/>
      <c r="N120" s="660"/>
      <c r="O120" s="660"/>
      <c r="P120" s="660"/>
      <c r="Q120" s="660"/>
      <c r="R120" s="661"/>
      <c r="S120" s="662"/>
      <c r="T120" s="727"/>
      <c r="U120" s="2402"/>
      <c r="V120" s="2402"/>
      <c r="W120" s="1169"/>
      <c r="X120" s="1169"/>
      <c r="Y120" s="1169"/>
      <c r="Z120" s="1169"/>
      <c r="AA120" s="1645"/>
      <c r="AB120" s="1169"/>
      <c r="AC120" s="2403"/>
      <c r="AD120" s="638"/>
      <c r="AE120" s="1169"/>
      <c r="AF120" s="1169"/>
      <c r="AG120" s="1645"/>
      <c r="AH120" s="1645"/>
      <c r="AI120" s="1645"/>
      <c r="AJ120" s="1645"/>
      <c r="AK120" s="1645"/>
      <c r="AL120" s="1645"/>
      <c r="AM120" s="1645"/>
      <c r="AN120" s="1645"/>
      <c r="AO120" s="1645"/>
      <c r="AP120" s="1645"/>
      <c r="AQ120" s="1645"/>
      <c r="AR120" s="1645"/>
      <c r="AS120" s="1645"/>
      <c r="AT120" s="1645"/>
      <c r="AU120" s="1645"/>
      <c r="AV120" s="1645"/>
      <c r="AW120" s="1645"/>
      <c r="AX120" s="1645"/>
      <c r="AY120" s="1645"/>
      <c r="AZ120" s="1645"/>
      <c r="BA120" s="1645"/>
      <c r="BB120" s="1645"/>
      <c r="BC120" s="1645"/>
      <c r="BD120" s="1645"/>
      <c r="BE120" s="1645"/>
      <c r="BF120" s="1645"/>
      <c r="BG120" s="1645"/>
      <c r="BH120" s="1645"/>
      <c r="BI120" s="1645"/>
      <c r="BJ120" s="1645"/>
      <c r="BK120" s="1645"/>
      <c r="BL120" s="1645"/>
      <c r="BM120" s="1645"/>
      <c r="BN120" s="1645"/>
      <c r="BO120" s="1645"/>
      <c r="BP120" s="1645"/>
      <c r="BQ120" s="1645"/>
      <c r="BR120" s="1645"/>
      <c r="BS120" s="1645"/>
      <c r="BT120" s="1645"/>
      <c r="BU120" s="1645"/>
      <c r="BV120" s="1169"/>
      <c r="BW120" s="1169"/>
      <c r="BX120" s="1169"/>
      <c r="BY120" s="1169"/>
      <c r="BZ120" s="1169"/>
      <c r="CA120" s="1169"/>
      <c r="CB120" s="1169"/>
      <c r="CC120" s="1169"/>
      <c r="CD120" s="1169"/>
      <c r="CE120" s="1169"/>
    </row>
    <row s="1856" customFormat="1" customHeight="1" ht="24.75">
      <c r="A121" s="1814"/>
      <c r="B121" s="1169"/>
      <c r="C121" s="421"/>
      <c r="D121" s="2607"/>
      <c r="E121" s="2404" t="s">
        <v>633</v>
      </c>
      <c r="F121" s="2404"/>
      <c r="G121" s="2404"/>
      <c r="H121" s="2404"/>
      <c r="I121" s="2404"/>
      <c r="J121" s="2404"/>
      <c r="K121" s="2404"/>
      <c r="L121" s="2404"/>
      <c r="M121" s="2404"/>
      <c r="N121" s="2404"/>
      <c r="O121" s="2404"/>
      <c r="P121" s="2404"/>
      <c r="Q121" s="567">
        <f>SUMIF(T122:T123,"i",Q122:Q123)</f>
        <v>0</v>
      </c>
      <c r="R121" s="1026"/>
      <c r="S121" s="1806" t="s">
        <v>634</v>
      </c>
      <c r="T121" s="726" t="s">
        <v>632</v>
      </c>
      <c r="U121" s="2402">
        <v>1</v>
      </c>
      <c r="V121" s="2402">
        <f>INDEX(B_FHD_FLAG_INDEX_2,1,MATCH(A115,B_FHD_FLAG_DIFFERENTIATION,0))</f>
      </c>
      <c r="W121" s="1169"/>
      <c r="X121" s="1169"/>
      <c r="Y121" s="1169"/>
      <c r="Z121" s="1169"/>
      <c r="AA121" s="1645"/>
      <c r="AB121" s="1169"/>
      <c r="AC121" s="1804"/>
      <c r="AD121" s="638"/>
      <c r="AE121" s="1169"/>
      <c r="AF121" s="1169"/>
      <c r="AG121" s="1645"/>
      <c r="AH121" s="1645"/>
      <c r="AI121" s="1645"/>
      <c r="AJ121" s="1645"/>
      <c r="AK121" s="1645"/>
      <c r="AL121" s="1645"/>
      <c r="AM121" s="1645"/>
      <c r="AN121" s="1645"/>
      <c r="AO121" s="1645"/>
      <c r="AP121" s="1645"/>
      <c r="AQ121" s="1645"/>
      <c r="AR121" s="1645"/>
      <c r="AS121" s="1645"/>
      <c r="AT121" s="1645"/>
      <c r="AU121" s="1645"/>
      <c r="AV121" s="1645"/>
      <c r="AW121" s="1645"/>
      <c r="AX121" s="1645"/>
      <c r="AY121" s="1645"/>
      <c r="AZ121" s="1645"/>
      <c r="BA121" s="1645"/>
      <c r="BB121" s="1645"/>
      <c r="BC121" s="1645"/>
      <c r="BD121" s="1645"/>
      <c r="BE121" s="1645"/>
      <c r="BF121" s="1645"/>
      <c r="BG121" s="1645"/>
      <c r="BH121" s="1645"/>
      <c r="BI121" s="1645"/>
      <c r="BJ121" s="1645"/>
      <c r="BK121" s="1645"/>
      <c r="BL121" s="1645"/>
      <c r="BM121" s="1645"/>
      <c r="BN121" s="1645"/>
      <c r="BO121" s="1645"/>
      <c r="BP121" s="1645"/>
      <c r="BQ121" s="1645"/>
      <c r="BR121" s="1645"/>
      <c r="BS121" s="1645"/>
      <c r="BT121" s="1645"/>
      <c r="BU121" s="1645"/>
      <c r="BV121" s="1169"/>
      <c r="BW121" s="1169"/>
      <c r="BX121" s="1169"/>
      <c r="BY121" s="1169"/>
      <c r="BZ121" s="1169"/>
      <c r="CA121" s="1169"/>
      <c r="CB121" s="1169"/>
      <c r="CC121" s="1169"/>
      <c r="CD121" s="1169"/>
      <c r="CE121" s="1169"/>
    </row>
    <row s="1856" customFormat="1" customHeight="1" ht="11.25" hidden="1">
      <c r="A122" s="1801"/>
      <c r="B122" s="1645"/>
      <c r="C122" s="1645"/>
      <c r="D122" s="2607"/>
      <c r="E122" s="644"/>
      <c r="F122" s="644">
        <v>0</v>
      </c>
      <c r="G122" s="644"/>
      <c r="H122" s="644"/>
      <c r="I122" s="644"/>
      <c r="J122" s="644"/>
      <c r="K122" s="644"/>
      <c r="L122" s="644"/>
      <c r="M122" s="644"/>
      <c r="N122" s="644"/>
      <c r="O122" s="644"/>
      <c r="P122" s="644"/>
      <c r="Q122" s="644"/>
      <c r="R122" s="644"/>
      <c r="S122" s="645"/>
      <c r="T122" s="727"/>
      <c r="U122" s="2402"/>
      <c r="V122" s="2402"/>
      <c r="W122" s="1645"/>
      <c r="X122" s="1645"/>
      <c r="Y122" s="1645"/>
      <c r="Z122" s="1645"/>
      <c r="AA122" s="1645"/>
      <c r="AB122" s="1169"/>
      <c r="AC122" s="1804"/>
      <c r="AD122" s="638"/>
      <c r="AE122" s="1169"/>
      <c r="AF122" s="1169"/>
      <c r="AG122" s="1645"/>
      <c r="AH122" s="1645"/>
      <c r="AI122" s="1645"/>
      <c r="AJ122" s="1645"/>
      <c r="AK122" s="1645"/>
      <c r="AL122" s="1645"/>
      <c r="AM122" s="1645"/>
      <c r="AN122" s="1645"/>
      <c r="AO122" s="1645"/>
      <c r="AP122" s="1645"/>
      <c r="AQ122" s="1645"/>
      <c r="AR122" s="1645"/>
      <c r="AS122" s="1645"/>
      <c r="AT122" s="1645"/>
      <c r="AU122" s="1645"/>
      <c r="AV122" s="1645"/>
      <c r="AW122" s="1645"/>
      <c r="AX122" s="1645"/>
      <c r="AY122" s="1645"/>
      <c r="AZ122" s="1645"/>
      <c r="BA122" s="1645"/>
      <c r="BB122" s="1645"/>
      <c r="BC122" s="1645"/>
      <c r="BD122" s="1645"/>
      <c r="BE122" s="1645"/>
      <c r="BF122" s="1645"/>
      <c r="BG122" s="1645"/>
      <c r="BH122" s="1645"/>
      <c r="BI122" s="1645"/>
      <c r="BJ122" s="1645"/>
      <c r="BK122" s="1645"/>
      <c r="BL122" s="1645"/>
      <c r="BM122" s="1645"/>
      <c r="BN122" s="1645"/>
      <c r="BO122" s="1645"/>
      <c r="BP122" s="1645"/>
      <c r="BQ122" s="1645"/>
      <c r="BR122" s="1645"/>
      <c r="BS122" s="1645"/>
      <c r="BT122" s="1645"/>
      <c r="BU122" s="1645"/>
      <c r="BV122" s="1645"/>
      <c r="BW122" s="1645"/>
      <c r="BX122" s="1645"/>
      <c r="BY122" s="1645"/>
      <c r="BZ122" s="1645"/>
      <c r="CA122" s="1645"/>
      <c r="CB122" s="1645"/>
      <c r="CC122" s="1645"/>
      <c r="CD122" s="1645"/>
      <c r="CE122" s="1645"/>
    </row>
    <row s="1856" customFormat="1" customHeight="1" ht="11.25">
      <c r="A123" s="1814"/>
      <c r="B123" s="1169"/>
      <c r="C123" s="421"/>
      <c r="D123" s="2608"/>
      <c r="E123" s="658" t="s">
        <v>22</v>
      </c>
      <c r="F123" s="1177" t="s">
        <v>22</v>
      </c>
      <c r="G123" s="1177" t="s">
        <v>635</v>
      </c>
      <c r="H123" s="660" t="s">
        <v>22</v>
      </c>
      <c r="I123" s="660"/>
      <c r="J123" s="660"/>
      <c r="K123" s="660"/>
      <c r="L123" s="660"/>
      <c r="M123" s="660"/>
      <c r="N123" s="660"/>
      <c r="O123" s="660"/>
      <c r="P123" s="660"/>
      <c r="Q123" s="660"/>
      <c r="R123" s="661"/>
      <c r="S123" s="662"/>
      <c r="T123" s="727"/>
      <c r="U123" s="2402"/>
      <c r="V123" s="2402"/>
      <c r="W123" s="1169"/>
      <c r="X123" s="1169"/>
      <c r="Y123" s="1169"/>
      <c r="Z123" s="1169"/>
      <c r="AA123" s="1645"/>
      <c r="AB123" s="1169"/>
      <c r="AC123" s="1804"/>
      <c r="AD123" s="638"/>
      <c r="AE123" s="1169"/>
      <c r="AF123" s="1169"/>
      <c r="AG123" s="1645"/>
      <c r="AH123" s="1645"/>
      <c r="AI123" s="1645"/>
      <c r="AJ123" s="1645"/>
      <c r="AK123" s="1645"/>
      <c r="AL123" s="1645"/>
      <c r="AM123" s="1645"/>
      <c r="AN123" s="1645"/>
      <c r="AO123" s="1645"/>
      <c r="AP123" s="1645"/>
      <c r="AQ123" s="1645"/>
      <c r="AR123" s="1645"/>
      <c r="AS123" s="1645"/>
      <c r="AT123" s="1645"/>
      <c r="AU123" s="1645"/>
      <c r="AV123" s="1645"/>
      <c r="AW123" s="1645"/>
      <c r="AX123" s="1645"/>
      <c r="AY123" s="1645"/>
      <c r="AZ123" s="1645"/>
      <c r="BA123" s="1645"/>
      <c r="BB123" s="1645"/>
      <c r="BC123" s="1645"/>
      <c r="BD123" s="1645"/>
      <c r="BE123" s="1645"/>
      <c r="BF123" s="1645"/>
      <c r="BG123" s="1645"/>
      <c r="BH123" s="1645"/>
      <c r="BI123" s="1645"/>
      <c r="BJ123" s="1645"/>
      <c r="BK123" s="1645"/>
      <c r="BL123" s="1645"/>
      <c r="BM123" s="1645"/>
      <c r="BN123" s="1645"/>
      <c r="BO123" s="1645"/>
      <c r="BP123" s="1645"/>
      <c r="BQ123" s="1645"/>
      <c r="BR123" s="1645"/>
      <c r="BS123" s="1645"/>
      <c r="BT123" s="1645"/>
      <c r="BU123" s="1645"/>
      <c r="BV123" s="1169"/>
      <c r="BW123" s="1169"/>
      <c r="BX123" s="1169"/>
      <c r="BY123" s="1169"/>
      <c r="BZ123" s="1169"/>
      <c r="CA123" s="1169"/>
      <c r="CB123" s="1169"/>
      <c r="CC123" s="1169"/>
      <c r="CD123" s="1169"/>
      <c r="CE123" s="1169"/>
    </row>
    <row r="125" s="1823" customFormat="1" customHeight="1" ht="11.25">
      <c r="A125" s="1823" t="s">
        <v>2176</v>
      </c>
    </row>
    <row r="127" s="1856" customFormat="1" customHeight="1" ht="15" hidden="1">
      <c r="A127" s="632"/>
      <c r="B127" s="633"/>
      <c r="C127" s="633"/>
      <c r="D127" s="2606" t="s">
        <v>118</v>
      </c>
      <c r="E127" s="2405" t="s">
        <v>114</v>
      </c>
      <c r="F127" s="2406"/>
      <c r="G127" s="2407"/>
      <c r="H127" s="2411" t="str">
        <f>IF(A127="","",INDEX(DIFFERENTIATION_UNMERGE_VD,MATCH(A127,DIFFERENTIATION_ID_DIFF,0)))</f>
        <v/>
      </c>
      <c r="I127" s="2411"/>
      <c r="J127" s="2411"/>
      <c r="K127" s="2411"/>
      <c r="L127" s="2411"/>
      <c r="M127" s="2411"/>
      <c r="N127" s="2411"/>
      <c r="O127" s="2411"/>
      <c r="P127" s="2411"/>
      <c r="Q127" s="2411"/>
      <c r="R127" s="2411"/>
      <c r="S127" s="728"/>
      <c r="T127" s="725"/>
      <c r="U127" s="634"/>
      <c r="V127" s="634"/>
      <c r="W127" s="635"/>
      <c r="X127" s="635"/>
      <c r="Y127" s="635"/>
      <c r="Z127" s="635"/>
      <c r="AA127" s="636"/>
      <c r="AB127" s="637"/>
      <c r="AC127" s="2403"/>
      <c r="AD127" s="638"/>
      <c r="AE127" s="639" t="s">
        <v>22</v>
      </c>
      <c r="AF127" s="639"/>
      <c r="AG127" s="640" t="s">
        <v>629</v>
      </c>
      <c r="AH127" s="641">
        <v>3</v>
      </c>
      <c r="AI127" s="634"/>
      <c r="AJ127" s="634"/>
      <c r="AK127" s="634"/>
      <c r="AL127" s="634"/>
      <c r="AM127" s="634"/>
      <c r="AN127" s="634"/>
      <c r="AO127" s="634"/>
      <c r="AP127" s="634"/>
      <c r="AQ127" s="634"/>
      <c r="AR127" s="634"/>
      <c r="AS127" s="634"/>
      <c r="AT127" s="634"/>
      <c r="AU127" s="634"/>
      <c r="AV127" s="634"/>
      <c r="AW127" s="634"/>
      <c r="AX127" s="634"/>
      <c r="AY127" s="634"/>
      <c r="AZ127" s="634"/>
      <c r="BA127" s="634"/>
      <c r="BB127" s="634"/>
      <c r="BC127" s="634"/>
      <c r="BD127" s="634"/>
      <c r="BE127" s="634"/>
      <c r="BF127" s="634"/>
      <c r="BG127" s="634"/>
      <c r="BH127" s="634"/>
      <c r="BI127" s="634"/>
      <c r="BJ127" s="634"/>
      <c r="BK127" s="634"/>
      <c r="BL127" s="634"/>
      <c r="BM127" s="634"/>
      <c r="BN127" s="634"/>
      <c r="BO127" s="634"/>
      <c r="BP127" s="634"/>
      <c r="BQ127" s="634"/>
      <c r="BR127" s="634"/>
      <c r="BS127" s="634"/>
      <c r="BT127" s="634"/>
      <c r="BU127" s="634"/>
      <c r="BV127" s="635"/>
      <c r="BW127" s="635"/>
      <c r="BX127" s="635"/>
      <c r="BY127" s="635"/>
      <c r="BZ127" s="635"/>
      <c r="CA127" s="635"/>
      <c r="CB127" s="635"/>
      <c r="CC127" s="635"/>
      <c r="CD127" s="635"/>
      <c r="CE127" s="635"/>
    </row>
    <row s="1856" customFormat="1" customHeight="1" ht="15" hidden="1">
      <c r="A128" s="632"/>
      <c r="B128" s="633"/>
      <c r="C128" s="633"/>
      <c r="D128" s="2607"/>
      <c r="E128" s="2405" t="s">
        <v>577</v>
      </c>
      <c r="F128" s="2406"/>
      <c r="G128" s="2407"/>
      <c r="H128" s="2411" t="str">
        <f>IF(A127="","",INDEX(DIFFERENTIATION_UNMERGE_AREA,MATCH(A127,DIFFERENTIATION_ID_DIFF,0)))</f>
        <v/>
      </c>
      <c r="I128" s="2411"/>
      <c r="J128" s="2411"/>
      <c r="K128" s="2411"/>
      <c r="L128" s="2411"/>
      <c r="M128" s="2411"/>
      <c r="N128" s="2411"/>
      <c r="O128" s="2411"/>
      <c r="P128" s="2411"/>
      <c r="Q128" s="2411"/>
      <c r="R128" s="2411"/>
      <c r="S128" s="728"/>
      <c r="T128" s="725"/>
      <c r="U128" s="634"/>
      <c r="V128" s="634"/>
      <c r="W128" s="635"/>
      <c r="X128" s="635"/>
      <c r="Y128" s="635"/>
      <c r="Z128" s="635"/>
      <c r="AA128" s="636"/>
      <c r="AB128" s="637"/>
      <c r="AC128" s="2403"/>
      <c r="AD128" s="638"/>
      <c r="AE128" s="639"/>
      <c r="AF128" s="639"/>
      <c r="AG128" s="640"/>
      <c r="AH128" s="641"/>
      <c r="AI128" s="634"/>
      <c r="AJ128" s="634"/>
      <c r="AK128" s="634"/>
      <c r="AL128" s="634"/>
      <c r="AM128" s="634"/>
      <c r="AN128" s="634"/>
      <c r="AO128" s="634"/>
      <c r="AP128" s="634"/>
      <c r="AQ128" s="634"/>
      <c r="AR128" s="634"/>
      <c r="AS128" s="634"/>
      <c r="AT128" s="634"/>
      <c r="AU128" s="634"/>
      <c r="AV128" s="634"/>
      <c r="AW128" s="634"/>
      <c r="AX128" s="634"/>
      <c r="AY128" s="634"/>
      <c r="AZ128" s="634"/>
      <c r="BA128" s="634"/>
      <c r="BB128" s="634"/>
      <c r="BC128" s="634"/>
      <c r="BD128" s="634"/>
      <c r="BE128" s="634"/>
      <c r="BF128" s="634"/>
      <c r="BG128" s="634"/>
      <c r="BH128" s="634"/>
      <c r="BI128" s="634"/>
      <c r="BJ128" s="634"/>
      <c r="BK128" s="634"/>
      <c r="BL128" s="634"/>
      <c r="BM128" s="634"/>
      <c r="BN128" s="634"/>
      <c r="BO128" s="634"/>
      <c r="BP128" s="634"/>
      <c r="BQ128" s="634"/>
      <c r="BR128" s="634"/>
      <c r="BS128" s="634"/>
      <c r="BT128" s="634"/>
      <c r="BU128" s="634"/>
      <c r="BV128" s="635"/>
      <c r="BW128" s="635"/>
      <c r="BX128" s="635"/>
      <c r="BY128" s="635"/>
      <c r="BZ128" s="635"/>
      <c r="CA128" s="635"/>
      <c r="CB128" s="635"/>
      <c r="CC128" s="635"/>
      <c r="CD128" s="635"/>
      <c r="CE128" s="635"/>
    </row>
    <row s="1856" customFormat="1" customHeight="1" ht="15" hidden="1">
      <c r="A129" s="632"/>
      <c r="B129" s="633"/>
      <c r="C129" s="633"/>
      <c r="D129" s="2607"/>
      <c r="E129" s="2405" t="s">
        <v>578</v>
      </c>
      <c r="F129" s="2406"/>
      <c r="G129" s="2407"/>
      <c r="H129" s="2411" t="str">
        <f>IF(A127="","",INDEX(DIFFERENTIATION_UNMERGE_SYSTEM,MATCH(A127,DIFFERENTIATION_ID_DIFF,0)))</f>
        <v/>
      </c>
      <c r="I129" s="2411"/>
      <c r="J129" s="2411"/>
      <c r="K129" s="2411"/>
      <c r="L129" s="2411"/>
      <c r="M129" s="2411"/>
      <c r="N129" s="2411"/>
      <c r="O129" s="2411"/>
      <c r="P129" s="2411"/>
      <c r="Q129" s="2411"/>
      <c r="R129" s="2411"/>
      <c r="S129" s="728"/>
      <c r="T129" s="725"/>
      <c r="U129" s="634"/>
      <c r="V129" s="634"/>
      <c r="W129" s="635"/>
      <c r="X129" s="635"/>
      <c r="Y129" s="635"/>
      <c r="Z129" s="635"/>
      <c r="AA129" s="636"/>
      <c r="AB129" s="637"/>
      <c r="AC129" s="2403"/>
      <c r="AD129" s="638"/>
      <c r="AE129" s="639"/>
      <c r="AF129" s="639"/>
      <c r="AG129" s="640"/>
      <c r="AH129" s="641"/>
      <c r="AI129" s="634"/>
      <c r="AJ129" s="634"/>
      <c r="AK129" s="634"/>
      <c r="AL129" s="634"/>
      <c r="AM129" s="634"/>
      <c r="AN129" s="634"/>
      <c r="AO129" s="634"/>
      <c r="AP129" s="634"/>
      <c r="AQ129" s="634"/>
      <c r="AR129" s="634"/>
      <c r="AS129" s="634"/>
      <c r="AT129" s="634"/>
      <c r="AU129" s="634"/>
      <c r="AV129" s="634"/>
      <c r="AW129" s="634"/>
      <c r="AX129" s="634"/>
      <c r="AY129" s="634"/>
      <c r="AZ129" s="634"/>
      <c r="BA129" s="634"/>
      <c r="BB129" s="634"/>
      <c r="BC129" s="634"/>
      <c r="BD129" s="634"/>
      <c r="BE129" s="634"/>
      <c r="BF129" s="634"/>
      <c r="BG129" s="634"/>
      <c r="BH129" s="634"/>
      <c r="BI129" s="634"/>
      <c r="BJ129" s="634"/>
      <c r="BK129" s="634"/>
      <c r="BL129" s="634"/>
      <c r="BM129" s="634"/>
      <c r="BN129" s="634"/>
      <c r="BO129" s="634"/>
      <c r="BP129" s="634"/>
      <c r="BQ129" s="634"/>
      <c r="BR129" s="634"/>
      <c r="BS129" s="634"/>
      <c r="BT129" s="634"/>
      <c r="BU129" s="634"/>
      <c r="BV129" s="635"/>
      <c r="BW129" s="635"/>
      <c r="BX129" s="635"/>
      <c r="BY129" s="635"/>
      <c r="BZ129" s="635"/>
      <c r="CA129" s="635"/>
      <c r="CB129" s="635"/>
      <c r="CC129" s="635"/>
      <c r="CD129" s="635"/>
      <c r="CE129" s="635"/>
    </row>
    <row s="1856" customFormat="1" customHeight="1" ht="24.75" hidden="1">
      <c r="A130" s="1814"/>
      <c r="B130" s="1169"/>
      <c r="C130" s="421"/>
      <c r="D130" s="2607"/>
      <c r="E130" s="2404" t="s">
        <v>630</v>
      </c>
      <c r="F130" s="2404"/>
      <c r="G130" s="2404"/>
      <c r="H130" s="2404"/>
      <c r="I130" s="2404"/>
      <c r="J130" s="2404"/>
      <c r="K130" s="2404"/>
      <c r="L130" s="2404"/>
      <c r="M130" s="2404"/>
      <c r="N130" s="2404"/>
      <c r="O130" s="2404"/>
      <c r="P130" s="2404"/>
      <c r="Q130" s="567">
        <f>SUMIF(T131:T132,"i",Q131:Q132)</f>
        <v>0</v>
      </c>
      <c r="R130" s="1026"/>
      <c r="S130" s="1806" t="s">
        <v>631</v>
      </c>
      <c r="T130" s="726" t="s">
        <v>632</v>
      </c>
      <c r="U130" s="2402">
        <v>1</v>
      </c>
      <c r="V130" s="2402">
        <f>INDEX(B_FHD_FLAG_INDEX_1,1,MATCH(A127,B_FHD_FLAG_DIFFERENTIATION,0))</f>
      </c>
      <c r="W130" s="1169"/>
      <c r="X130" s="1169"/>
      <c r="Y130" s="1169"/>
      <c r="Z130" s="1169"/>
      <c r="AA130" s="1645"/>
      <c r="AB130" s="1169"/>
      <c r="AC130" s="2403"/>
      <c r="AD130" s="638"/>
      <c r="AE130" s="1169"/>
      <c r="AF130" s="1169"/>
      <c r="AG130" s="1645"/>
      <c r="AH130" s="1645"/>
      <c r="AI130" s="1645"/>
      <c r="AJ130" s="1645"/>
      <c r="AK130" s="1645"/>
      <c r="AL130" s="1645"/>
      <c r="AM130" s="1645"/>
      <c r="AN130" s="1645"/>
      <c r="AO130" s="1645"/>
      <c r="AP130" s="1645"/>
      <c r="AQ130" s="1645"/>
      <c r="AR130" s="1645"/>
      <c r="AS130" s="1645"/>
      <c r="AT130" s="1645"/>
      <c r="AU130" s="1645"/>
      <c r="AV130" s="1645"/>
      <c r="AW130" s="1645"/>
      <c r="AX130" s="1645"/>
      <c r="AY130" s="1645"/>
      <c r="AZ130" s="1645"/>
      <c r="BA130" s="1645"/>
      <c r="BB130" s="1645"/>
      <c r="BC130" s="1645"/>
      <c r="BD130" s="1645"/>
      <c r="BE130" s="1645"/>
      <c r="BF130" s="1645"/>
      <c r="BG130" s="1645"/>
      <c r="BH130" s="1645"/>
      <c r="BI130" s="1645"/>
      <c r="BJ130" s="1645"/>
      <c r="BK130" s="1645"/>
      <c r="BL130" s="1645"/>
      <c r="BM130" s="1645"/>
      <c r="BN130" s="1645"/>
      <c r="BO130" s="1645"/>
      <c r="BP130" s="1645"/>
      <c r="BQ130" s="1645"/>
      <c r="BR130" s="1645"/>
      <c r="BS130" s="1645"/>
      <c r="BT130" s="1645"/>
      <c r="BU130" s="1645"/>
      <c r="BV130" s="1169"/>
      <c r="BW130" s="1169"/>
      <c r="BX130" s="1169"/>
      <c r="BY130" s="1169"/>
      <c r="BZ130" s="1169"/>
      <c r="CA130" s="1169"/>
      <c r="CB130" s="1169"/>
      <c r="CC130" s="1169"/>
      <c r="CD130" s="1169"/>
      <c r="CE130" s="1169"/>
    </row>
    <row s="1856" customFormat="1" customHeight="1" ht="11.25" hidden="1">
      <c r="A131" s="1801"/>
      <c r="B131" s="1645"/>
      <c r="C131" s="1645"/>
      <c r="D131" s="2607"/>
      <c r="E131" s="644"/>
      <c r="F131" s="644">
        <v>0</v>
      </c>
      <c r="G131" s="644"/>
      <c r="H131" s="644"/>
      <c r="I131" s="644"/>
      <c r="J131" s="644"/>
      <c r="K131" s="644"/>
      <c r="L131" s="644"/>
      <c r="M131" s="644"/>
      <c r="N131" s="644"/>
      <c r="O131" s="644"/>
      <c r="P131" s="644"/>
      <c r="Q131" s="644"/>
      <c r="R131" s="644"/>
      <c r="S131" s="645"/>
      <c r="T131" s="727"/>
      <c r="U131" s="2402"/>
      <c r="V131" s="2402"/>
      <c r="W131" s="1645"/>
      <c r="X131" s="1645"/>
      <c r="Y131" s="1645"/>
      <c r="Z131" s="1645"/>
      <c r="AA131" s="1645"/>
      <c r="AB131" s="1169"/>
      <c r="AC131" s="2403"/>
      <c r="AD131" s="638"/>
      <c r="AE131" s="1169"/>
      <c r="AF131" s="1169"/>
      <c r="AG131" s="1645"/>
      <c r="AH131" s="1645"/>
      <c r="AI131" s="1645"/>
      <c r="AJ131" s="1645"/>
      <c r="AK131" s="1645"/>
      <c r="AL131" s="1645"/>
      <c r="AM131" s="1645"/>
      <c r="AN131" s="1645"/>
      <c r="AO131" s="1645"/>
      <c r="AP131" s="1645"/>
      <c r="AQ131" s="1645"/>
      <c r="AR131" s="1645"/>
      <c r="AS131" s="1645"/>
      <c r="AT131" s="1645"/>
      <c r="AU131" s="1645"/>
      <c r="AV131" s="1645"/>
      <c r="AW131" s="1645"/>
      <c r="AX131" s="1645"/>
      <c r="AY131" s="1645"/>
      <c r="AZ131" s="1645"/>
      <c r="BA131" s="1645"/>
      <c r="BB131" s="1645"/>
      <c r="BC131" s="1645"/>
      <c r="BD131" s="1645"/>
      <c r="BE131" s="1645"/>
      <c r="BF131" s="1645"/>
      <c r="BG131" s="1645"/>
      <c r="BH131" s="1645"/>
      <c r="BI131" s="1645"/>
      <c r="BJ131" s="1645"/>
      <c r="BK131" s="1645"/>
      <c r="BL131" s="1645"/>
      <c r="BM131" s="1645"/>
      <c r="BN131" s="1645"/>
      <c r="BO131" s="1645"/>
      <c r="BP131" s="1645"/>
      <c r="BQ131" s="1645"/>
      <c r="BR131" s="1645"/>
      <c r="BS131" s="1645"/>
      <c r="BT131" s="1645"/>
      <c r="BU131" s="1645"/>
      <c r="BV131" s="1645"/>
      <c r="BW131" s="1645"/>
      <c r="BX131" s="1645"/>
      <c r="BY131" s="1645"/>
      <c r="BZ131" s="1645"/>
      <c r="CA131" s="1645"/>
      <c r="CB131" s="1645"/>
      <c r="CC131" s="1645"/>
      <c r="CD131" s="1645"/>
      <c r="CE131" s="1645"/>
    </row>
    <row s="1856" customFormat="1" customHeight="1" ht="11.25" hidden="1">
      <c r="A132" s="1814"/>
      <c r="B132" s="1169"/>
      <c r="C132" s="421"/>
      <c r="D132" s="2607"/>
      <c r="E132" s="658" t="s">
        <v>22</v>
      </c>
      <c r="F132" s="1177" t="s">
        <v>22</v>
      </c>
      <c r="G132" s="1177" t="s">
        <v>635</v>
      </c>
      <c r="H132" s="660" t="s">
        <v>22</v>
      </c>
      <c r="I132" s="660"/>
      <c r="J132" s="660"/>
      <c r="K132" s="660"/>
      <c r="L132" s="660"/>
      <c r="M132" s="660"/>
      <c r="N132" s="660"/>
      <c r="O132" s="660"/>
      <c r="P132" s="660"/>
      <c r="Q132" s="660"/>
      <c r="R132" s="661"/>
      <c r="S132" s="662"/>
      <c r="T132" s="727"/>
      <c r="U132" s="2402"/>
      <c r="V132" s="2402"/>
      <c r="W132" s="1169"/>
      <c r="X132" s="1169"/>
      <c r="Y132" s="1169"/>
      <c r="Z132" s="1169"/>
      <c r="AA132" s="1645"/>
      <c r="AB132" s="1169"/>
      <c r="AC132" s="2403"/>
      <c r="AD132" s="638"/>
      <c r="AE132" s="1169"/>
      <c r="AF132" s="1169"/>
      <c r="AG132" s="1645"/>
      <c r="AH132" s="1645"/>
      <c r="AI132" s="1645"/>
      <c r="AJ132" s="1645"/>
      <c r="AK132" s="1645"/>
      <c r="AL132" s="1645"/>
      <c r="AM132" s="1645"/>
      <c r="AN132" s="1645"/>
      <c r="AO132" s="1645"/>
      <c r="AP132" s="1645"/>
      <c r="AQ132" s="1645"/>
      <c r="AR132" s="1645"/>
      <c r="AS132" s="1645"/>
      <c r="AT132" s="1645"/>
      <c r="AU132" s="1645"/>
      <c r="AV132" s="1645"/>
      <c r="AW132" s="1645"/>
      <c r="AX132" s="1645"/>
      <c r="AY132" s="1645"/>
      <c r="AZ132" s="1645"/>
      <c r="BA132" s="1645"/>
      <c r="BB132" s="1645"/>
      <c r="BC132" s="1645"/>
      <c r="BD132" s="1645"/>
      <c r="BE132" s="1645"/>
      <c r="BF132" s="1645"/>
      <c r="BG132" s="1645"/>
      <c r="BH132" s="1645"/>
      <c r="BI132" s="1645"/>
      <c r="BJ132" s="1645"/>
      <c r="BK132" s="1645"/>
      <c r="BL132" s="1645"/>
      <c r="BM132" s="1645"/>
      <c r="BN132" s="1645"/>
      <c r="BO132" s="1645"/>
      <c r="BP132" s="1645"/>
      <c r="BQ132" s="1645"/>
      <c r="BR132" s="1645"/>
      <c r="BS132" s="1645"/>
      <c r="BT132" s="1645"/>
      <c r="BU132" s="1645"/>
      <c r="BV132" s="1169"/>
      <c r="BW132" s="1169"/>
      <c r="BX132" s="1169"/>
      <c r="BY132" s="1169"/>
      <c r="BZ132" s="1169"/>
      <c r="CA132" s="1169"/>
      <c r="CB132" s="1169"/>
      <c r="CC132" s="1169"/>
      <c r="CD132" s="1169"/>
      <c r="CE132" s="1169"/>
    </row>
    <row s="1325" customFormat="1" customHeight="1" ht="5.25" hidden="1">
      <c r="A133" s="1801"/>
      <c r="B133" s="1645"/>
      <c r="C133" s="1645"/>
      <c r="D133" s="2607"/>
      <c r="E133" s="1048"/>
      <c r="F133" s="1048"/>
      <c r="G133" s="1048"/>
      <c r="H133" s="1048"/>
      <c r="I133" s="1048"/>
      <c r="J133" s="1048"/>
      <c r="K133" s="1048"/>
      <c r="L133" s="1048"/>
      <c r="M133" s="1048"/>
      <c r="N133" s="1048"/>
      <c r="O133" s="1048"/>
      <c r="P133" s="1048"/>
      <c r="Q133" s="1049"/>
      <c r="R133" s="1050"/>
      <c r="S133" s="1051"/>
      <c r="T133" s="726" t="s">
        <v>632</v>
      </c>
      <c r="U133" s="2402">
        <v>1</v>
      </c>
      <c r="V133" s="2402" t="s">
        <v>594</v>
      </c>
      <c r="W133" s="1645"/>
      <c r="X133" s="1645"/>
      <c r="Y133" s="1645"/>
      <c r="Z133" s="1645"/>
      <c r="AA133" s="1645"/>
      <c r="AB133" s="1645"/>
      <c r="AC133" s="1046"/>
      <c r="AD133" s="1047"/>
      <c r="AE133" s="1645"/>
      <c r="AF133" s="1645"/>
      <c r="AG133" s="1645"/>
      <c r="AH133" s="1645"/>
      <c r="AI133" s="1645"/>
      <c r="AJ133" s="1645"/>
      <c r="AK133" s="1645"/>
      <c r="AL133" s="1645"/>
      <c r="AM133" s="1645"/>
      <c r="AN133" s="1645"/>
      <c r="AO133" s="1645"/>
      <c r="AP133" s="1645"/>
      <c r="AQ133" s="1645"/>
      <c r="AR133" s="1645"/>
      <c r="AS133" s="1645"/>
      <c r="AT133" s="1645"/>
      <c r="AU133" s="1645"/>
      <c r="AV133" s="1645"/>
      <c r="AW133" s="1645"/>
      <c r="AX133" s="1645"/>
      <c r="AY133" s="1645"/>
      <c r="AZ133" s="1645"/>
      <c r="BA133" s="1645"/>
      <c r="BB133" s="1645"/>
      <c r="BC133" s="1645"/>
      <c r="BD133" s="1645"/>
      <c r="BE133" s="1645"/>
      <c r="BF133" s="1645"/>
      <c r="BG133" s="1645"/>
      <c r="BH133" s="1645"/>
      <c r="BI133" s="1645"/>
      <c r="BJ133" s="1645"/>
      <c r="BK133" s="1645"/>
      <c r="BL133" s="1645"/>
      <c r="BM133" s="1645"/>
      <c r="BN133" s="1645"/>
      <c r="BO133" s="1645"/>
      <c r="BP133" s="1645"/>
      <c r="BQ133" s="1645"/>
      <c r="BR133" s="1645"/>
      <c r="BS133" s="1645"/>
      <c r="BT133" s="1645"/>
      <c r="BU133" s="1645"/>
      <c r="BV133" s="1645"/>
      <c r="BW133" s="1645"/>
      <c r="BX133" s="1645"/>
      <c r="BY133" s="1645"/>
      <c r="BZ133" s="1645"/>
      <c r="CA133" s="1645"/>
      <c r="CB133" s="1645"/>
      <c r="CC133" s="1645"/>
      <c r="CD133" s="1645"/>
      <c r="CE133" s="1645"/>
    </row>
    <row s="1325" customFormat="1" customHeight="1" ht="5.25" hidden="1">
      <c r="A134" s="1801"/>
      <c r="B134" s="1645"/>
      <c r="C134" s="1645"/>
      <c r="D134" s="2607"/>
      <c r="E134" s="644"/>
      <c r="F134" s="644"/>
      <c r="G134" s="644"/>
      <c r="H134" s="644"/>
      <c r="I134" s="644"/>
      <c r="J134" s="644"/>
      <c r="K134" s="644"/>
      <c r="L134" s="644"/>
      <c r="M134" s="644"/>
      <c r="N134" s="644"/>
      <c r="O134" s="644"/>
      <c r="P134" s="644"/>
      <c r="Q134" s="644"/>
      <c r="R134" s="644"/>
      <c r="S134" s="645"/>
      <c r="T134" s="727"/>
      <c r="U134" s="2402"/>
      <c r="V134" s="2402"/>
      <c r="W134" s="1645"/>
      <c r="X134" s="1645"/>
      <c r="Y134" s="1645"/>
      <c r="Z134" s="1645"/>
      <c r="AA134" s="1645"/>
      <c r="AB134" s="1645"/>
      <c r="AC134" s="1046"/>
      <c r="AD134" s="1047"/>
      <c r="AE134" s="1645"/>
      <c r="AF134" s="1645"/>
      <c r="AG134" s="1645"/>
      <c r="AH134" s="1645"/>
      <c r="AI134" s="1645"/>
      <c r="AJ134" s="1645"/>
      <c r="AK134" s="1645"/>
      <c r="AL134" s="1645"/>
      <c r="AM134" s="1645"/>
      <c r="AN134" s="1645"/>
      <c r="AO134" s="1645"/>
      <c r="AP134" s="1645"/>
      <c r="AQ134" s="1645"/>
      <c r="AR134" s="1645"/>
      <c r="AS134" s="1645"/>
      <c r="AT134" s="1645"/>
      <c r="AU134" s="1645"/>
      <c r="AV134" s="1645"/>
      <c r="AW134" s="1645"/>
      <c r="AX134" s="1645"/>
      <c r="AY134" s="1645"/>
      <c r="AZ134" s="1645"/>
      <c r="BA134" s="1645"/>
      <c r="BB134" s="1645"/>
      <c r="BC134" s="1645"/>
      <c r="BD134" s="1645"/>
      <c r="BE134" s="1645"/>
      <c r="BF134" s="1645"/>
      <c r="BG134" s="1645"/>
      <c r="BH134" s="1645"/>
      <c r="BI134" s="1645"/>
      <c r="BJ134" s="1645"/>
      <c r="BK134" s="1645"/>
      <c r="BL134" s="1645"/>
      <c r="BM134" s="1645"/>
      <c r="BN134" s="1645"/>
      <c r="BO134" s="1645"/>
      <c r="BP134" s="1645"/>
      <c r="BQ134" s="1645"/>
      <c r="BR134" s="1645"/>
      <c r="BS134" s="1645"/>
      <c r="BT134" s="1645"/>
      <c r="BU134" s="1645"/>
      <c r="BV134" s="1645"/>
      <c r="BW134" s="1645"/>
      <c r="BX134" s="1645"/>
      <c r="BY134" s="1645"/>
      <c r="BZ134" s="1645"/>
      <c r="CA134" s="1645"/>
      <c r="CB134" s="1645"/>
      <c r="CC134" s="1645"/>
      <c r="CD134" s="1645"/>
      <c r="CE134" s="1645"/>
    </row>
    <row s="1325" customFormat="1" customHeight="1" ht="5.25" hidden="1">
      <c r="A135" s="1801"/>
      <c r="B135" s="1645"/>
      <c r="C135" s="1645"/>
      <c r="D135" s="2608"/>
      <c r="E135" s="1052"/>
      <c r="F135" s="1053"/>
      <c r="G135" s="1053"/>
      <c r="H135" s="1054"/>
      <c r="I135" s="1054"/>
      <c r="J135" s="1054"/>
      <c r="K135" s="1054"/>
      <c r="L135" s="1054"/>
      <c r="M135" s="1054"/>
      <c r="N135" s="1054"/>
      <c r="O135" s="1054"/>
      <c r="P135" s="1054"/>
      <c r="Q135" s="1054"/>
      <c r="R135" s="955"/>
      <c r="S135" s="1055"/>
      <c r="T135" s="727"/>
      <c r="U135" s="2402"/>
      <c r="V135" s="2402"/>
      <c r="W135" s="1645"/>
      <c r="X135" s="1645"/>
      <c r="Y135" s="1645"/>
      <c r="Z135" s="1645"/>
      <c r="AA135" s="1645"/>
      <c r="AB135" s="1645"/>
      <c r="AC135" s="1046"/>
      <c r="AD135" s="1047"/>
      <c r="AE135" s="1645"/>
      <c r="AF135" s="1645"/>
      <c r="AG135" s="1645"/>
      <c r="AH135" s="1645"/>
      <c r="AI135" s="1645"/>
      <c r="AJ135" s="1645"/>
      <c r="AK135" s="1645"/>
      <c r="AL135" s="1645"/>
      <c r="AM135" s="1645"/>
      <c r="AN135" s="1645"/>
      <c r="AO135" s="1645"/>
      <c r="AP135" s="1645"/>
      <c r="AQ135" s="1645"/>
      <c r="AR135" s="1645"/>
      <c r="AS135" s="1645"/>
      <c r="AT135" s="1645"/>
      <c r="AU135" s="1645"/>
      <c r="AV135" s="1645"/>
      <c r="AW135" s="1645"/>
      <c r="AX135" s="1645"/>
      <c r="AY135" s="1645"/>
      <c r="AZ135" s="1645"/>
      <c r="BA135" s="1645"/>
      <c r="BB135" s="1645"/>
      <c r="BC135" s="1645"/>
      <c r="BD135" s="1645"/>
      <c r="BE135" s="1645"/>
      <c r="BF135" s="1645"/>
      <c r="BG135" s="1645"/>
      <c r="BH135" s="1645"/>
      <c r="BI135" s="1645"/>
      <c r="BJ135" s="1645"/>
      <c r="BK135" s="1645"/>
      <c r="BL135" s="1645"/>
      <c r="BM135" s="1645"/>
      <c r="BN135" s="1645"/>
      <c r="BO135" s="1645"/>
      <c r="BP135" s="1645"/>
      <c r="BQ135" s="1645"/>
      <c r="BR135" s="1645"/>
      <c r="BS135" s="1645"/>
      <c r="BT135" s="1645"/>
      <c r="BU135" s="1645"/>
      <c r="BV135" s="1645"/>
      <c r="BW135" s="1645"/>
      <c r="BX135" s="1645"/>
      <c r="BY135" s="1645"/>
      <c r="BZ135" s="1645"/>
      <c r="CA135" s="1645"/>
      <c r="CB135" s="1645"/>
      <c r="CC135" s="1645"/>
      <c r="CD135" s="1645"/>
      <c r="CE135" s="1645"/>
    </row>
    <row customHeight="1" ht="17.25">
      <c r="D136" s="1842"/>
    </row>
    <row s="1823" customFormat="1" customHeight="1" ht="11.25">
      <c r="A137" s="1823" t="s">
        <v>2177</v>
      </c>
    </row>
    <row r="139" s="1856" customFormat="1" customHeight="1" ht="45">
      <c r="A139" s="1814"/>
      <c r="B139" s="1169"/>
      <c r="C139" s="421"/>
      <c r="D139" s="98"/>
      <c r="E139" s="2600"/>
      <c r="F139" s="2136" t="s">
        <v>118</v>
      </c>
      <c r="G139" s="2603" t="s">
        <v>22</v>
      </c>
      <c r="H139" s="298"/>
      <c r="I139" s="646" t="s">
        <v>118</v>
      </c>
      <c r="J139" s="1815" t="s">
        <v>2178</v>
      </c>
      <c r="K139" s="647" t="s">
        <v>559</v>
      </c>
      <c r="L139" s="2252" t="s">
        <v>559</v>
      </c>
      <c r="M139" s="2605"/>
      <c r="N139" s="647" t="s">
        <v>559</v>
      </c>
      <c r="O139" s="647" t="s">
        <v>559</v>
      </c>
      <c r="P139" s="647" t="s">
        <v>559</v>
      </c>
      <c r="Q139" s="648">
        <f>SUM(Q140:Q142)</f>
        <v>0</v>
      </c>
      <c r="R139" s="648">
        <f>IF(R136=0,0,(Q136/R136)*100)</f>
        <v>0</v>
      </c>
      <c r="S139" s="2207"/>
      <c r="T139" s="726" t="s">
        <v>632</v>
      </c>
      <c r="U139" s="98"/>
      <c r="V139" s="98"/>
      <c r="AC139" s="98"/>
    </row>
    <row s="1856" customFormat="1" customHeight="1" ht="11.25">
      <c r="A140" s="1814"/>
      <c r="B140" s="1169"/>
      <c r="C140" s="421"/>
      <c r="D140" s="98"/>
      <c r="E140" s="2601"/>
      <c r="F140" s="2136"/>
      <c r="G140" s="2603"/>
      <c r="H140" s="2155"/>
      <c r="I140" s="2543" t="s">
        <v>1328</v>
      </c>
      <c r="J140" s="2597"/>
      <c r="K140" s="2598"/>
      <c r="L140" s="649"/>
      <c r="M140" s="650" t="s">
        <v>118</v>
      </c>
      <c r="N140" s="1803"/>
      <c r="O140" s="651"/>
      <c r="P140" s="652"/>
      <c r="Q140" s="651"/>
      <c r="R140" s="653">
        <v>0</v>
      </c>
      <c r="S140" s="2207"/>
      <c r="T140" s="726"/>
      <c r="U140" s="98"/>
      <c r="V140" s="98"/>
      <c r="AC140" s="98"/>
    </row>
    <row s="1856" customFormat="1" customHeight="1" ht="11.25">
      <c r="A141" s="1814"/>
      <c r="B141" s="1169"/>
      <c r="C141" s="421"/>
      <c r="D141" s="98"/>
      <c r="E141" s="2601"/>
      <c r="F141" s="2136"/>
      <c r="G141" s="2603"/>
      <c r="H141" s="2155"/>
      <c r="I141" s="2543"/>
      <c r="J141" s="2597"/>
      <c r="K141" s="2599"/>
      <c r="L141" s="654"/>
      <c r="M141" s="655"/>
      <c r="N141" s="656" t="s">
        <v>2179</v>
      </c>
      <c r="O141" s="656"/>
      <c r="P141" s="656"/>
      <c r="Q141" s="656"/>
      <c r="R141" s="657"/>
      <c r="S141" s="2207"/>
      <c r="T141" s="726"/>
      <c r="U141" s="98"/>
      <c r="V141" s="98"/>
      <c r="AC141" s="98"/>
    </row>
    <row s="1856" customFormat="1" customHeight="1" ht="11.25">
      <c r="A142" s="1814"/>
      <c r="B142" s="1169"/>
      <c r="C142" s="421"/>
      <c r="D142" s="98"/>
      <c r="E142" s="2602"/>
      <c r="F142" s="2136"/>
      <c r="G142" s="2604"/>
      <c r="H142" s="654" t="s">
        <v>22</v>
      </c>
      <c r="I142" s="655"/>
      <c r="J142" s="656" t="s">
        <v>2180</v>
      </c>
      <c r="K142" s="656"/>
      <c r="L142" s="656"/>
      <c r="M142" s="656"/>
      <c r="N142" s="656"/>
      <c r="O142" s="656"/>
      <c r="P142" s="656"/>
      <c r="Q142" s="656"/>
      <c r="R142" s="657"/>
      <c r="S142" s="2207"/>
      <c r="T142" s="726"/>
      <c r="U142" s="98"/>
      <c r="V142" s="98"/>
      <c r="AC142" s="98"/>
    </row>
    <row r="147" s="1856" customFormat="1" customHeight="1" ht="11.25">
      <c r="A147" s="1814"/>
      <c r="B147" s="1169"/>
      <c r="C147" s="421"/>
      <c r="D147" s="98"/>
      <c r="E147" s="1838"/>
      <c r="F147" s="1838"/>
      <c r="G147" s="1838"/>
      <c r="H147" s="2155"/>
      <c r="I147" s="2543" t="s">
        <v>1328</v>
      </c>
      <c r="J147" s="2597"/>
      <c r="K147" s="2598"/>
      <c r="L147" s="649"/>
      <c r="M147" s="650" t="s">
        <v>118</v>
      </c>
      <c r="N147" s="1803"/>
      <c r="O147" s="651"/>
      <c r="P147" s="652"/>
      <c r="Q147" s="651"/>
      <c r="R147" s="653">
        <v>0</v>
      </c>
      <c r="S147" s="98"/>
      <c r="T147" s="726"/>
      <c r="U147" s="98"/>
      <c r="V147" s="98"/>
      <c r="AC147" s="98"/>
    </row>
    <row s="1856" customFormat="1" customHeight="1" ht="11.25">
      <c r="A148" s="1814"/>
      <c r="B148" s="1169"/>
      <c r="C148" s="421"/>
      <c r="D148" s="98"/>
      <c r="E148" s="1838"/>
      <c r="F148" s="1838"/>
      <c r="G148" s="1838"/>
      <c r="H148" s="2155"/>
      <c r="I148" s="2543"/>
      <c r="J148" s="2597"/>
      <c r="K148" s="2599"/>
      <c r="L148" s="654"/>
      <c r="M148" s="655"/>
      <c r="N148" s="656" t="s">
        <v>2179</v>
      </c>
      <c r="O148" s="656"/>
      <c r="P148" s="656"/>
      <c r="Q148" s="656"/>
      <c r="R148" s="657"/>
      <c r="S148" s="98"/>
      <c r="T148" s="726"/>
      <c r="U148" s="98"/>
      <c r="V148" s="98"/>
      <c r="AC148" s="98"/>
    </row>
    <row r="150" s="1856" customFormat="1" customHeight="1" ht="11.25">
      <c r="A150" s="1814"/>
      <c r="B150" s="1169"/>
      <c r="C150" s="421"/>
      <c r="D150" s="98"/>
      <c r="E150" s="1843"/>
      <c r="F150" s="1841"/>
      <c r="G150" s="1841"/>
      <c r="H150" s="1844"/>
      <c r="I150" s="1838"/>
      <c r="J150" s="1839"/>
      <c r="K150" s="1839"/>
      <c r="L150" s="649"/>
      <c r="M150" s="650" t="s">
        <v>118</v>
      </c>
      <c r="N150" s="1803"/>
      <c r="O150" s="651"/>
      <c r="P150" s="652"/>
      <c r="Q150" s="651"/>
      <c r="R150" s="653">
        <v>0</v>
      </c>
      <c r="S150" s="98"/>
      <c r="T150" s="726"/>
      <c r="U150" s="98"/>
      <c r="V150" s="98"/>
      <c r="AC150" s="98"/>
    </row>
    <row r="152" s="1823" customFormat="1" customHeight="1" ht="17.25">
      <c r="A152" s="1823" t="s">
        <v>2181</v>
      </c>
    </row>
    <row customHeight="1" ht="17.25">
      <c r="G153" s="1845"/>
      <c r="H153" s="1845"/>
      <c r="I153" s="1845"/>
      <c r="M153" s="1841"/>
    </row>
    <row s="1859" customFormat="1" customHeight="1" ht="17.25">
      <c r="A154" s="1846"/>
      <c r="C154" s="1848"/>
      <c r="D154" s="2557"/>
      <c r="E154" s="2171"/>
      <c r="F154" s="2173"/>
      <c r="G154" s="2559"/>
      <c r="H154" s="2557"/>
      <c r="I154" s="2557">
        <v>1</v>
      </c>
      <c r="J154" s="2529"/>
      <c r="K154" s="2213" t="s">
        <v>63</v>
      </c>
      <c r="L154" s="2136"/>
      <c r="M154" s="2136" t="s">
        <v>118</v>
      </c>
      <c r="N154" s="2532" t="str">
        <f>IF(Z154="","",INDEX(TERRITORY_MR_LIST,MATCH(Z154,TERRITORY_LIST_ID,0)))</f>
        <v/>
      </c>
      <c r="O154" s="2213" t="s">
        <v>63</v>
      </c>
      <c r="P154" s="2136"/>
      <c r="Q154" s="2136" t="s">
        <v>118</v>
      </c>
      <c r="R154" s="2530" t="s">
        <v>22</v>
      </c>
      <c r="S154" s="2135" t="s">
        <v>63</v>
      </c>
      <c r="T154" s="1819"/>
      <c r="U154" s="1819" t="s">
        <v>118</v>
      </c>
      <c r="V154" s="1849" t="s">
        <v>22</v>
      </c>
      <c r="W154" s="1809"/>
      <c r="Y154" s="1276"/>
      <c r="Z154" s="1276"/>
      <c r="AA154" s="1276"/>
      <c r="AB154" s="1276"/>
      <c r="AC154" s="1276"/>
      <c r="AD154" s="1276"/>
      <c r="AE154" s="1276"/>
      <c r="AF154" s="1276"/>
      <c r="AG154" s="1276"/>
      <c r="AH154" s="1276"/>
      <c r="AI154" s="1276"/>
      <c r="AJ154" s="1276"/>
      <c r="AK154" s="1276"/>
      <c r="AL154" s="1850"/>
      <c r="AM154" s="1850"/>
      <c r="AN154" s="1276"/>
      <c r="AO154" s="1276"/>
      <c r="AP154" s="1276"/>
      <c r="AQ154" s="1276"/>
    </row>
    <row s="1859" customFormat="1" customHeight="1" ht="17.25">
      <c r="A155" s="1846"/>
      <c r="C155" s="1851"/>
      <c r="D155" s="2557"/>
      <c r="E155" s="2171"/>
      <c r="F155" s="2174"/>
      <c r="G155" s="2559"/>
      <c r="H155" s="2557"/>
      <c r="I155" s="2557"/>
      <c r="J155" s="2529"/>
      <c r="K155" s="2214"/>
      <c r="L155" s="2136"/>
      <c r="M155" s="2136"/>
      <c r="N155" s="2532"/>
      <c r="O155" s="2214"/>
      <c r="P155" s="2136"/>
      <c r="Q155" s="2136"/>
      <c r="R155" s="2530"/>
      <c r="S155" s="2135"/>
      <c r="T155" s="326"/>
      <c r="U155" s="327"/>
      <c r="V155" s="327" t="s">
        <v>429</v>
      </c>
      <c r="W155" s="328"/>
      <c r="Y155" s="1268"/>
      <c r="Z155" s="1268"/>
      <c r="AA155" s="1268"/>
      <c r="AB155" s="1268"/>
      <c r="AC155" s="1268"/>
      <c r="AD155" s="1268"/>
      <c r="AE155" s="1268"/>
      <c r="AF155" s="1268"/>
      <c r="AG155" s="1268"/>
      <c r="AH155" s="1268"/>
      <c r="AI155" s="1268"/>
      <c r="AJ155" s="1268"/>
      <c r="AK155" s="1268"/>
    </row>
    <row s="1859" customFormat="1" customHeight="1" ht="17.25">
      <c r="A156" s="1846"/>
      <c r="C156" s="1851"/>
      <c r="D156" s="2531"/>
      <c r="E156" s="2558"/>
      <c r="F156" s="2174"/>
      <c r="G156" s="2560"/>
      <c r="H156" s="2531"/>
      <c r="I156" s="2531"/>
      <c r="J156" s="2561"/>
      <c r="K156" s="2214"/>
      <c r="L156" s="2531"/>
      <c r="M156" s="2531"/>
      <c r="N156" s="2533"/>
      <c r="O156" s="2140"/>
      <c r="P156" s="326"/>
      <c r="Q156" s="327"/>
      <c r="R156" s="327" t="s">
        <v>430</v>
      </c>
      <c r="S156" s="1852"/>
      <c r="T156" s="1852"/>
      <c r="U156" s="1852"/>
      <c r="V156" s="1852"/>
      <c r="W156" s="328"/>
      <c r="Y156" s="1268"/>
      <c r="Z156" s="1268"/>
      <c r="AA156" s="1268"/>
      <c r="AB156" s="1268"/>
      <c r="AC156" s="1268"/>
      <c r="AD156" s="1268"/>
      <c r="AE156" s="1268"/>
      <c r="AF156" s="1268"/>
      <c r="AG156" s="1268"/>
      <c r="AH156" s="1268"/>
      <c r="AI156" s="1268"/>
      <c r="AJ156" s="1268"/>
      <c r="AK156" s="1268"/>
    </row>
    <row s="1859" customFormat="1" customHeight="1" ht="17.25">
      <c r="A157" s="1846"/>
      <c r="C157" s="1851"/>
      <c r="D157" s="2531"/>
      <c r="E157" s="2558"/>
      <c r="F157" s="2174"/>
      <c r="G157" s="2560"/>
      <c r="H157" s="2531"/>
      <c r="I157" s="2531"/>
      <c r="J157" s="2561"/>
      <c r="K157" s="2140"/>
      <c r="L157" s="326"/>
      <c r="M157" s="327"/>
      <c r="N157" s="327" t="s">
        <v>431</v>
      </c>
      <c r="O157" s="327"/>
      <c r="P157" s="327"/>
      <c r="Q157" s="327"/>
      <c r="R157" s="327"/>
      <c r="S157" s="1852"/>
      <c r="T157" s="1852"/>
      <c r="U157" s="1852"/>
      <c r="V157" s="1852"/>
      <c r="W157" s="328"/>
      <c r="Y157" s="1268"/>
      <c r="Z157" s="1268"/>
      <c r="AA157" s="1268"/>
      <c r="AB157" s="1268"/>
      <c r="AC157" s="1268"/>
      <c r="AD157" s="1268"/>
      <c r="AE157" s="1268"/>
      <c r="AF157" s="1268"/>
      <c r="AG157" s="1268"/>
      <c r="AH157" s="1268"/>
      <c r="AI157" s="1268"/>
      <c r="AJ157" s="1268"/>
      <c r="AK157" s="1268"/>
    </row>
    <row s="1859" customFormat="1" customHeight="1" ht="17.25">
      <c r="A158" s="1846"/>
      <c r="C158" s="1851"/>
      <c r="D158" s="2531"/>
      <c r="E158" s="2558"/>
      <c r="F158" s="2175"/>
      <c r="G158" s="2560"/>
      <c r="H158" s="326"/>
      <c r="I158" s="327"/>
      <c r="J158" s="327" t="s">
        <v>459</v>
      </c>
      <c r="K158" s="327"/>
      <c r="L158" s="327"/>
      <c r="M158" s="327"/>
      <c r="N158" s="327"/>
      <c r="O158" s="327"/>
      <c r="P158" s="327"/>
      <c r="Q158" s="327"/>
      <c r="R158" s="327"/>
      <c r="S158" s="1852"/>
      <c r="T158" s="1852"/>
      <c r="U158" s="1852"/>
      <c r="V158" s="1852"/>
      <c r="W158" s="328"/>
      <c r="Y158" s="1268"/>
      <c r="Z158" s="1268"/>
      <c r="AA158" s="1268"/>
      <c r="AB158" s="1268"/>
      <c r="AC158" s="1268"/>
      <c r="AD158" s="1268"/>
      <c r="AE158" s="1268"/>
      <c r="AF158" s="1268"/>
      <c r="AG158" s="1268"/>
      <c r="AH158" s="1268"/>
      <c r="AI158" s="1268"/>
      <c r="AJ158" s="1268"/>
      <c r="AK158" s="1268"/>
    </row>
    <row customHeight="1" ht="17.25">
      <c r="G159" s="1845"/>
      <c r="H159" s="1845"/>
      <c r="I159" s="1845"/>
      <c r="M159" s="1841"/>
    </row>
    <row s="1859" customFormat="1" customHeight="1" ht="17.25">
      <c r="A160" s="1846"/>
      <c r="C160" s="1848"/>
      <c r="D160" s="1838"/>
      <c r="E160" s="1853"/>
      <c r="F160" s="1792"/>
      <c r="G160" s="1854"/>
      <c r="H160" s="2557"/>
      <c r="I160" s="2557">
        <v>1</v>
      </c>
      <c r="J160" s="2529"/>
      <c r="K160" s="2213" t="s">
        <v>63</v>
      </c>
      <c r="L160" s="2136"/>
      <c r="M160" s="2136" t="s">
        <v>118</v>
      </c>
      <c r="N160" s="2532" t="str">
        <f>IF(Z160="","",INDEX(TERRITORY_MR_LIST,MATCH(Z160,TERRITORY_LIST_ID,0)))</f>
        <v/>
      </c>
      <c r="O160" s="2213" t="s">
        <v>63</v>
      </c>
      <c r="P160" s="2136"/>
      <c r="Q160" s="2136" t="s">
        <v>118</v>
      </c>
      <c r="R160" s="2530" t="s">
        <v>22</v>
      </c>
      <c r="S160" s="2135" t="s">
        <v>63</v>
      </c>
      <c r="T160" s="1819"/>
      <c r="U160" s="1819" t="s">
        <v>118</v>
      </c>
      <c r="V160" s="1849" t="s">
        <v>22</v>
      </c>
      <c r="W160" s="1809"/>
      <c r="Y160" s="1276"/>
      <c r="Z160" s="1276"/>
      <c r="AA160" s="1276"/>
      <c r="AB160" s="1276"/>
      <c r="AC160" s="1276"/>
      <c r="AD160" s="1276"/>
      <c r="AE160" s="1276"/>
      <c r="AF160" s="1276"/>
      <c r="AG160" s="1276"/>
      <c r="AH160" s="1276"/>
      <c r="AI160" s="1276"/>
      <c r="AJ160" s="1276"/>
      <c r="AK160" s="1276"/>
      <c r="AL160" s="1850"/>
      <c r="AM160" s="1850"/>
      <c r="AN160" s="1276"/>
      <c r="AO160" s="1276"/>
      <c r="AP160" s="1276"/>
      <c r="AQ160" s="1276"/>
    </row>
    <row s="1859" customFormat="1" customHeight="1" ht="17.25">
      <c r="A161" s="1846"/>
      <c r="C161" s="1851"/>
      <c r="D161" s="1838"/>
      <c r="E161" s="1853"/>
      <c r="F161" s="1792"/>
      <c r="G161" s="1854"/>
      <c r="H161" s="2557"/>
      <c r="I161" s="2557"/>
      <c r="J161" s="2529"/>
      <c r="K161" s="2214"/>
      <c r="L161" s="2136"/>
      <c r="M161" s="2136"/>
      <c r="N161" s="2532"/>
      <c r="O161" s="2214"/>
      <c r="P161" s="2136"/>
      <c r="Q161" s="2136"/>
      <c r="R161" s="2530"/>
      <c r="S161" s="2135"/>
      <c r="T161" s="326"/>
      <c r="U161" s="327"/>
      <c r="V161" s="327" t="s">
        <v>429</v>
      </c>
      <c r="W161" s="328"/>
      <c r="Y161" s="1268"/>
      <c r="Z161" s="1268"/>
      <c r="AA161" s="1268"/>
      <c r="AB161" s="1268"/>
      <c r="AC161" s="1268"/>
      <c r="AD161" s="1268"/>
      <c r="AE161" s="1268"/>
      <c r="AF161" s="1268"/>
      <c r="AG161" s="1268"/>
      <c r="AH161" s="1268"/>
      <c r="AI161" s="1268"/>
      <c r="AJ161" s="1268"/>
      <c r="AK161" s="1268"/>
    </row>
    <row s="1859" customFormat="1" customHeight="1" ht="17.25">
      <c r="A162" s="1846"/>
      <c r="C162" s="1851"/>
      <c r="D162" s="1838"/>
      <c r="E162" s="1853"/>
      <c r="F162" s="1792"/>
      <c r="G162" s="1854"/>
      <c r="H162" s="2531"/>
      <c r="I162" s="2531"/>
      <c r="J162" s="2561"/>
      <c r="K162" s="2214"/>
      <c r="L162" s="2531"/>
      <c r="M162" s="2531"/>
      <c r="N162" s="2533"/>
      <c r="O162" s="2140"/>
      <c r="P162" s="326"/>
      <c r="Q162" s="327"/>
      <c r="R162" s="327" t="s">
        <v>430</v>
      </c>
      <c r="S162" s="1852"/>
      <c r="T162" s="1852"/>
      <c r="U162" s="1852"/>
      <c r="V162" s="1852"/>
      <c r="W162" s="328"/>
      <c r="Y162" s="1268"/>
      <c r="Z162" s="1268"/>
      <c r="AA162" s="1268"/>
      <c r="AB162" s="1268"/>
      <c r="AC162" s="1268"/>
      <c r="AD162" s="1268"/>
      <c r="AE162" s="1268"/>
      <c r="AF162" s="1268"/>
      <c r="AG162" s="1268"/>
      <c r="AH162" s="1268"/>
      <c r="AI162" s="1268"/>
      <c r="AJ162" s="1268"/>
      <c r="AK162" s="1268"/>
    </row>
    <row s="1859" customFormat="1" customHeight="1" ht="17.25">
      <c r="A163" s="1846"/>
      <c r="C163" s="1851"/>
      <c r="D163" s="1838"/>
      <c r="E163" s="1853"/>
      <c r="F163" s="1792"/>
      <c r="G163" s="1854"/>
      <c r="H163" s="2531"/>
      <c r="I163" s="2531"/>
      <c r="J163" s="2561"/>
      <c r="K163" s="2140"/>
      <c r="L163" s="326"/>
      <c r="M163" s="327"/>
      <c r="N163" s="327" t="s">
        <v>431</v>
      </c>
      <c r="O163" s="327"/>
      <c r="P163" s="327"/>
      <c r="Q163" s="327"/>
      <c r="R163" s="327"/>
      <c r="S163" s="1852"/>
      <c r="T163" s="1852"/>
      <c r="U163" s="1852"/>
      <c r="V163" s="1852"/>
      <c r="W163" s="328"/>
      <c r="Y163" s="1268"/>
      <c r="Z163" s="1268"/>
      <c r="AA163" s="1268"/>
      <c r="AB163" s="1268"/>
      <c r="AC163" s="1268"/>
      <c r="AD163" s="1268"/>
      <c r="AE163" s="1268"/>
      <c r="AF163" s="1268"/>
      <c r="AG163" s="1268"/>
      <c r="AH163" s="1268"/>
      <c r="AI163" s="1268"/>
      <c r="AJ163" s="1268"/>
      <c r="AK163" s="1268"/>
    </row>
    <row customHeight="1" ht="17.25">
      <c r="G164" s="1845"/>
      <c r="H164" s="1845"/>
      <c r="I164" s="1845"/>
      <c r="M164" s="1841"/>
    </row>
    <row s="1859" customFormat="1" customHeight="1" ht="17.25">
      <c r="A165" s="1846"/>
      <c r="C165" s="1848"/>
      <c r="D165" s="1838"/>
      <c r="E165" s="1853"/>
      <c r="F165" s="1792"/>
      <c r="G165" s="1854"/>
      <c r="H165" s="1838"/>
      <c r="I165" s="1838"/>
      <c r="J165" s="1855"/>
      <c r="K165" s="1768"/>
      <c r="L165" s="2136"/>
      <c r="M165" s="2136" t="s">
        <v>118</v>
      </c>
      <c r="N165" s="2532" t="str">
        <f>IF(Z165="","",INDEX(TERRITORY_MR_LIST,MATCH(Z165,TERRITORY_LIST_ID,0)))</f>
        <v/>
      </c>
      <c r="O165" s="2213" t="s">
        <v>63</v>
      </c>
      <c r="P165" s="2136"/>
      <c r="Q165" s="2136" t="s">
        <v>118</v>
      </c>
      <c r="R165" s="2530" t="s">
        <v>22</v>
      </c>
      <c r="S165" s="2135" t="s">
        <v>63</v>
      </c>
      <c r="T165" s="1819"/>
      <c r="U165" s="1819" t="s">
        <v>118</v>
      </c>
      <c r="V165" s="1849" t="s">
        <v>22</v>
      </c>
      <c r="W165" s="1809"/>
      <c r="Y165" s="1276"/>
      <c r="Z165" s="1276"/>
      <c r="AA165" s="1276"/>
      <c r="AB165" s="1276"/>
      <c r="AC165" s="1276"/>
      <c r="AD165" s="1276"/>
      <c r="AE165" s="1276"/>
      <c r="AF165" s="1276"/>
      <c r="AG165" s="1276"/>
      <c r="AH165" s="1276"/>
      <c r="AI165" s="1276"/>
      <c r="AJ165" s="1276"/>
      <c r="AK165" s="1276"/>
      <c r="AL165" s="1850"/>
      <c r="AM165" s="1850"/>
      <c r="AN165" s="1276"/>
      <c r="AO165" s="1276"/>
      <c r="AP165" s="1276"/>
      <c r="AQ165" s="1276"/>
    </row>
    <row s="1859" customFormat="1" customHeight="1" ht="17.25">
      <c r="A166" s="1846"/>
      <c r="C166" s="1851"/>
      <c r="D166" s="1838"/>
      <c r="E166" s="1853"/>
      <c r="F166" s="1792"/>
      <c r="G166" s="1854"/>
      <c r="H166" s="1838"/>
      <c r="I166" s="1838"/>
      <c r="J166" s="1855"/>
      <c r="K166" s="1768"/>
      <c r="L166" s="2136"/>
      <c r="M166" s="2136"/>
      <c r="N166" s="2532"/>
      <c r="O166" s="2214"/>
      <c r="P166" s="2136"/>
      <c r="Q166" s="2136"/>
      <c r="R166" s="2530"/>
      <c r="S166" s="2135"/>
      <c r="T166" s="326"/>
      <c r="U166" s="327"/>
      <c r="V166" s="327" t="s">
        <v>429</v>
      </c>
      <c r="W166" s="328"/>
      <c r="Y166" s="1268"/>
      <c r="Z166" s="1268"/>
      <c r="AA166" s="1268"/>
      <c r="AB166" s="1268"/>
      <c r="AC166" s="1268"/>
      <c r="AD166" s="1268"/>
      <c r="AE166" s="1268"/>
      <c r="AF166" s="1268"/>
      <c r="AG166" s="1268"/>
      <c r="AH166" s="1268"/>
      <c r="AI166" s="1268"/>
      <c r="AJ166" s="1268"/>
      <c r="AK166" s="1268"/>
    </row>
    <row s="1859" customFormat="1" customHeight="1" ht="17.25">
      <c r="A167" s="1846"/>
      <c r="C167" s="1851"/>
      <c r="D167" s="1838"/>
      <c r="E167" s="1853"/>
      <c r="F167" s="1792"/>
      <c r="G167" s="1854"/>
      <c r="H167" s="1838"/>
      <c r="I167" s="1838"/>
      <c r="J167" s="1855"/>
      <c r="K167" s="1768"/>
      <c r="L167" s="2531"/>
      <c r="M167" s="2531"/>
      <c r="N167" s="2533"/>
      <c r="O167" s="2140"/>
      <c r="P167" s="326"/>
      <c r="Q167" s="327"/>
      <c r="R167" s="327" t="s">
        <v>430</v>
      </c>
      <c r="S167" s="1852"/>
      <c r="T167" s="1852"/>
      <c r="U167" s="1852"/>
      <c r="V167" s="1852"/>
      <c r="W167" s="328"/>
      <c r="Y167" s="1268"/>
      <c r="Z167" s="1268"/>
      <c r="AA167" s="1268"/>
      <c r="AB167" s="1268"/>
      <c r="AC167" s="1268"/>
      <c r="AD167" s="1268"/>
      <c r="AE167" s="1268"/>
      <c r="AF167" s="1268"/>
      <c r="AG167" s="1268"/>
      <c r="AH167" s="1268"/>
      <c r="AI167" s="1268"/>
      <c r="AJ167" s="1268"/>
      <c r="AK167" s="1268"/>
    </row>
    <row customHeight="1" ht="17.25">
      <c r="G168" s="1845"/>
      <c r="H168" s="1845"/>
      <c r="I168" s="1845"/>
      <c r="M168" s="1841"/>
    </row>
    <row s="1859" customFormat="1" customHeight="1" ht="17.25">
      <c r="A169" s="1846"/>
      <c r="C169" s="1848"/>
      <c r="D169" s="1838"/>
      <c r="E169" s="1853"/>
      <c r="F169" s="1792"/>
      <c r="G169" s="1854"/>
      <c r="H169" s="1838"/>
      <c r="I169" s="1838"/>
      <c r="J169" s="1855"/>
      <c r="K169" s="1768"/>
      <c r="L169" s="1764"/>
      <c r="M169" s="1764"/>
      <c r="N169" s="2054"/>
      <c r="O169" s="1795"/>
      <c r="P169" s="2136"/>
      <c r="Q169" s="2136" t="s">
        <v>118</v>
      </c>
      <c r="R169" s="2530" t="s">
        <v>22</v>
      </c>
      <c r="S169" s="2135" t="s">
        <v>63</v>
      </c>
      <c r="T169" s="1819"/>
      <c r="U169" s="1819" t="s">
        <v>118</v>
      </c>
      <c r="V169" s="1849" t="s">
        <v>22</v>
      </c>
      <c r="W169" s="1809"/>
      <c r="Y169" s="1276"/>
      <c r="Z169" s="1276"/>
      <c r="AA169" s="1276"/>
      <c r="AB169" s="1276"/>
      <c r="AC169" s="1276"/>
      <c r="AD169" s="1276"/>
      <c r="AE169" s="1276"/>
      <c r="AF169" s="1276"/>
      <c r="AG169" s="1276"/>
      <c r="AH169" s="1276"/>
      <c r="AI169" s="1276"/>
      <c r="AJ169" s="1276"/>
      <c r="AK169" s="1276"/>
      <c r="AL169" s="1850"/>
      <c r="AM169" s="1850"/>
      <c r="AN169" s="1276"/>
      <c r="AO169" s="1276"/>
      <c r="AP169" s="1276"/>
      <c r="AQ169" s="1276"/>
    </row>
    <row s="1859" customFormat="1" customHeight="1" ht="17.25">
      <c r="A170" s="1846"/>
      <c r="C170" s="1851"/>
      <c r="D170" s="1838"/>
      <c r="E170" s="1853"/>
      <c r="F170" s="1792"/>
      <c r="G170" s="1854"/>
      <c r="H170" s="1838"/>
      <c r="I170" s="1838"/>
      <c r="J170" s="1855"/>
      <c r="K170" s="1768"/>
      <c r="L170" s="1764"/>
      <c r="M170" s="1764"/>
      <c r="N170" s="2054"/>
      <c r="O170" s="1795"/>
      <c r="P170" s="2136"/>
      <c r="Q170" s="2136"/>
      <c r="R170" s="2530"/>
      <c r="S170" s="2135"/>
      <c r="T170" s="326"/>
      <c r="U170" s="327"/>
      <c r="V170" s="327" t="s">
        <v>429</v>
      </c>
      <c r="W170" s="328"/>
      <c r="Y170" s="1268"/>
      <c r="Z170" s="1268"/>
      <c r="AA170" s="1268"/>
      <c r="AB170" s="1268"/>
      <c r="AC170" s="1268"/>
      <c r="AD170" s="1268"/>
      <c r="AE170" s="1268"/>
      <c r="AF170" s="1268"/>
      <c r="AG170" s="1268"/>
      <c r="AH170" s="1268"/>
      <c r="AI170" s="1268"/>
      <c r="AJ170" s="1268"/>
      <c r="AK170" s="1268"/>
    </row>
    <row customHeight="1" ht="17.25">
      <c r="G171" s="1845"/>
      <c r="H171" s="1845"/>
      <c r="I171" s="1845"/>
      <c r="M171" s="1841"/>
    </row>
    <row s="1859" customFormat="1" customHeight="1" ht="17.25">
      <c r="A172" s="1846"/>
      <c r="C172" s="1848"/>
      <c r="D172" s="1838"/>
      <c r="E172" s="1853"/>
      <c r="F172" s="1792"/>
      <c r="G172" s="1854"/>
      <c r="H172" s="1764"/>
      <c r="I172" s="1764"/>
      <c r="J172" s="1765"/>
      <c r="K172" s="1854"/>
      <c r="L172" s="1764"/>
      <c r="M172" s="1764"/>
      <c r="N172" s="1854"/>
      <c r="O172" s="1854"/>
      <c r="P172" s="1764"/>
      <c r="Q172" s="1764"/>
      <c r="R172" s="1766"/>
      <c r="S172" s="1854"/>
      <c r="T172" s="1819"/>
      <c r="U172" s="1819" t="s">
        <v>118</v>
      </c>
      <c r="V172" s="1849" t="s">
        <v>22</v>
      </c>
      <c r="W172" s="1809"/>
      <c r="Y172" s="1276"/>
      <c r="Z172" s="1276"/>
      <c r="AA172" s="1276"/>
      <c r="AB172" s="1276"/>
      <c r="AC172" s="1276"/>
      <c r="AD172" s="1276"/>
      <c r="AE172" s="1276"/>
      <c r="AF172" s="1276"/>
      <c r="AG172" s="1276"/>
      <c r="AH172" s="1276"/>
      <c r="AI172" s="1276"/>
      <c r="AJ172" s="1276"/>
      <c r="AK172" s="1276"/>
      <c r="AL172" s="1850"/>
      <c r="AM172" s="1850"/>
      <c r="AN172" s="1276"/>
      <c r="AO172" s="1276"/>
      <c r="AP172" s="1276"/>
      <c r="AQ172" s="1276"/>
    </row>
    <row r="174" s="1823" customFormat="1" customHeight="1" ht="17.25">
      <c r="A174" s="1823" t="s">
        <v>2182</v>
      </c>
    </row>
    <row customHeight="1" ht="17.25">
      <c r="G175" s="1845"/>
      <c r="H175" s="1845"/>
      <c r="I175" s="1845"/>
      <c r="M175" s="1841"/>
    </row>
    <row s="1859" customFormat="1" customHeight="1" ht="17.25">
      <c r="A176" s="1846"/>
      <c r="C176" s="1848"/>
      <c r="D176" s="2557"/>
      <c r="E176" s="2171"/>
      <c r="F176" s="2173"/>
      <c r="G176" s="2559"/>
      <c r="H176" s="2557"/>
      <c r="I176" s="2557">
        <v>1</v>
      </c>
      <c r="J176" s="2529"/>
      <c r="K176" s="2213" t="s">
        <v>63</v>
      </c>
      <c r="L176" s="2136"/>
      <c r="M176" s="2136" t="s">
        <v>118</v>
      </c>
      <c r="N176" s="2532" t="str">
        <f>IF(Z176="","",INDEX(TERRITORY_MR_LIST,MATCH(Z176,TERRITORY_LIST_ID,0)))</f>
        <v/>
      </c>
      <c r="O176" s="2213" t="s">
        <v>63</v>
      </c>
      <c r="P176" s="2136"/>
      <c r="Q176" s="2136" t="s">
        <v>118</v>
      </c>
      <c r="R176" s="2530" t="s">
        <v>22</v>
      </c>
      <c r="S176" s="2434" t="s">
        <v>19</v>
      </c>
      <c r="T176" s="1810"/>
      <c r="U176" s="1810" t="s">
        <v>118</v>
      </c>
      <c r="V176" s="1443"/>
      <c r="W176" s="2529"/>
      <c r="Y176" s="1276"/>
      <c r="Z176" s="1276"/>
      <c r="AA176" s="1276"/>
      <c r="AB176" s="1276"/>
      <c r="AC176" s="1276"/>
      <c r="AD176" s="1276"/>
      <c r="AE176" s="1276"/>
      <c r="AF176" s="1276"/>
      <c r="AG176" s="1276"/>
      <c r="AH176" s="1276"/>
      <c r="AI176" s="1276"/>
      <c r="AJ176" s="1276"/>
      <c r="AK176" s="1276"/>
      <c r="AL176" s="1850"/>
      <c r="AM176" s="1850"/>
      <c r="AN176" s="1276"/>
      <c r="AO176" s="1276"/>
      <c r="AP176" s="1276"/>
      <c r="AQ176" s="1276"/>
    </row>
    <row s="1859" customFormat="1" customHeight="1" ht="17.25">
      <c r="A177" s="1846"/>
      <c r="C177" s="1851"/>
      <c r="D177" s="2557"/>
      <c r="E177" s="2171"/>
      <c r="F177" s="2174"/>
      <c r="G177" s="2559"/>
      <c r="H177" s="2557"/>
      <c r="I177" s="2557"/>
      <c r="J177" s="2529"/>
      <c r="K177" s="2214"/>
      <c r="L177" s="2136"/>
      <c r="M177" s="2136"/>
      <c r="N177" s="2532"/>
      <c r="O177" s="2214"/>
      <c r="P177" s="2136"/>
      <c r="Q177" s="2136"/>
      <c r="R177" s="2530"/>
      <c r="S177" s="2434"/>
      <c r="T177" s="1444"/>
      <c r="U177" s="1445"/>
      <c r="V177" s="1445"/>
      <c r="W177" s="2529"/>
      <c r="Y177" s="1268"/>
      <c r="Z177" s="1268"/>
      <c r="AA177" s="1268"/>
      <c r="AB177" s="1268"/>
      <c r="AC177" s="1268"/>
      <c r="AD177" s="1268"/>
      <c r="AE177" s="1268"/>
      <c r="AF177" s="1268"/>
      <c r="AG177" s="1268"/>
      <c r="AH177" s="1268"/>
      <c r="AI177" s="1268"/>
      <c r="AJ177" s="1268"/>
      <c r="AK177" s="1268"/>
    </row>
    <row s="1859" customFormat="1" customHeight="1" ht="17.25">
      <c r="A178" s="1846"/>
      <c r="C178" s="1851"/>
      <c r="D178" s="2531"/>
      <c r="E178" s="2558"/>
      <c r="F178" s="2174"/>
      <c r="G178" s="2560"/>
      <c r="H178" s="2531"/>
      <c r="I178" s="2531"/>
      <c r="J178" s="2561"/>
      <c r="K178" s="2214"/>
      <c r="L178" s="2531"/>
      <c r="M178" s="2531"/>
      <c r="N178" s="2533"/>
      <c r="O178" s="2140"/>
      <c r="P178" s="326"/>
      <c r="Q178" s="327"/>
      <c r="R178" s="327" t="s">
        <v>430</v>
      </c>
      <c r="S178" s="1852"/>
      <c r="T178" s="1852"/>
      <c r="U178" s="1852"/>
      <c r="V178" s="1852"/>
      <c r="W178" s="1442"/>
      <c r="Y178" s="1268"/>
      <c r="Z178" s="1268"/>
      <c r="AA178" s="1268"/>
      <c r="AB178" s="1268"/>
      <c r="AC178" s="1268"/>
      <c r="AD178" s="1268"/>
      <c r="AE178" s="1268"/>
      <c r="AF178" s="1268"/>
      <c r="AG178" s="1268"/>
      <c r="AH178" s="1268"/>
      <c r="AI178" s="1268"/>
      <c r="AJ178" s="1268"/>
      <c r="AK178" s="1268"/>
    </row>
    <row s="1859" customFormat="1" customHeight="1" ht="17.25">
      <c r="A179" s="1846"/>
      <c r="C179" s="1851"/>
      <c r="D179" s="2531"/>
      <c r="E179" s="2558"/>
      <c r="F179" s="2174"/>
      <c r="G179" s="2560"/>
      <c r="H179" s="2531"/>
      <c r="I179" s="2531"/>
      <c r="J179" s="2561"/>
      <c r="K179" s="2140"/>
      <c r="L179" s="326"/>
      <c r="M179" s="327"/>
      <c r="N179" s="327" t="s">
        <v>431</v>
      </c>
      <c r="O179" s="327"/>
      <c r="P179" s="327"/>
      <c r="Q179" s="327"/>
      <c r="R179" s="327"/>
      <c r="S179" s="1852"/>
      <c r="T179" s="1852"/>
      <c r="U179" s="1852"/>
      <c r="V179" s="1852"/>
      <c r="W179" s="328"/>
      <c r="Y179" s="1268"/>
      <c r="Z179" s="1268"/>
      <c r="AA179" s="1268"/>
      <c r="AB179" s="1268"/>
      <c r="AC179" s="1268"/>
      <c r="AD179" s="1268"/>
      <c r="AE179" s="1268"/>
      <c r="AF179" s="1268"/>
      <c r="AG179" s="1268"/>
      <c r="AH179" s="1268"/>
      <c r="AI179" s="1268"/>
      <c r="AJ179" s="1268"/>
      <c r="AK179" s="1268"/>
    </row>
    <row s="1859" customFormat="1" customHeight="1" ht="17.25">
      <c r="A180" s="1846"/>
      <c r="C180" s="1851"/>
      <c r="D180" s="2531"/>
      <c r="E180" s="2558"/>
      <c r="F180" s="2175"/>
      <c r="G180" s="2560"/>
      <c r="H180" s="326"/>
      <c r="I180" s="327"/>
      <c r="J180" s="327" t="s">
        <v>459</v>
      </c>
      <c r="K180" s="327"/>
      <c r="L180" s="327"/>
      <c r="M180" s="327"/>
      <c r="N180" s="327"/>
      <c r="O180" s="327"/>
      <c r="P180" s="327"/>
      <c r="Q180" s="327"/>
      <c r="R180" s="327"/>
      <c r="S180" s="1852"/>
      <c r="T180" s="1852"/>
      <c r="U180" s="1852"/>
      <c r="V180" s="1852"/>
      <c r="W180" s="328"/>
      <c r="Y180" s="1268"/>
      <c r="Z180" s="1268"/>
      <c r="AA180" s="1268"/>
      <c r="AB180" s="1268"/>
      <c r="AC180" s="1268"/>
      <c r="AD180" s="1268"/>
      <c r="AE180" s="1268"/>
      <c r="AF180" s="1268"/>
      <c r="AG180" s="1268"/>
      <c r="AH180" s="1268"/>
      <c r="AI180" s="1268"/>
      <c r="AJ180" s="1268"/>
      <c r="AK180" s="1268"/>
    </row>
    <row customHeight="1" ht="17.25">
      <c r="A181" s="1856"/>
    </row>
    <row s="1859" customFormat="1" customHeight="1" ht="17.25">
      <c r="A182" s="1846"/>
      <c r="C182" s="1848"/>
      <c r="D182" s="1838"/>
      <c r="E182" s="1853"/>
      <c r="F182" s="1792"/>
      <c r="G182" s="1854"/>
      <c r="H182" s="2557"/>
      <c r="I182" s="2557">
        <v>1</v>
      </c>
      <c r="J182" s="2529"/>
      <c r="K182" s="2213" t="s">
        <v>63</v>
      </c>
      <c r="L182" s="2136"/>
      <c r="M182" s="2136" t="s">
        <v>118</v>
      </c>
      <c r="N182" s="2532" t="str">
        <f>IF(Z182="","",INDEX(TERRITORY_MR_LIST,MATCH(Z182,TERRITORY_LIST_ID,0)))</f>
        <v/>
      </c>
      <c r="O182" s="2213" t="s">
        <v>63</v>
      </c>
      <c r="P182" s="2136"/>
      <c r="Q182" s="2136" t="s">
        <v>118</v>
      </c>
      <c r="R182" s="2530" t="s">
        <v>22</v>
      </c>
      <c r="S182" s="2434" t="s">
        <v>19</v>
      </c>
      <c r="T182" s="1810"/>
      <c r="U182" s="1810" t="s">
        <v>118</v>
      </c>
      <c r="V182" s="1443"/>
      <c r="W182" s="2529"/>
      <c r="Y182" s="1276"/>
      <c r="Z182" s="1276"/>
      <c r="AA182" s="1276"/>
      <c r="AB182" s="1276"/>
      <c r="AC182" s="1276"/>
      <c r="AD182" s="1276"/>
      <c r="AE182" s="1276"/>
      <c r="AF182" s="1276"/>
      <c r="AG182" s="1276"/>
      <c r="AH182" s="1276"/>
      <c r="AI182" s="1276"/>
      <c r="AJ182" s="1276"/>
      <c r="AK182" s="1276"/>
      <c r="AL182" s="1850"/>
      <c r="AM182" s="1850"/>
      <c r="AN182" s="1276"/>
      <c r="AO182" s="1276"/>
      <c r="AP182" s="1276"/>
      <c r="AQ182" s="1276"/>
    </row>
    <row s="1859" customFormat="1" customHeight="1" ht="17.25">
      <c r="A183" s="1846"/>
      <c r="C183" s="1851"/>
      <c r="D183" s="1838"/>
      <c r="E183" s="1853"/>
      <c r="F183" s="1792"/>
      <c r="G183" s="1854"/>
      <c r="H183" s="2557"/>
      <c r="I183" s="2557"/>
      <c r="J183" s="2529"/>
      <c r="K183" s="2214"/>
      <c r="L183" s="2136"/>
      <c r="M183" s="2136"/>
      <c r="N183" s="2532"/>
      <c r="O183" s="2214"/>
      <c r="P183" s="2136"/>
      <c r="Q183" s="2136"/>
      <c r="R183" s="2530"/>
      <c r="S183" s="2434"/>
      <c r="T183" s="1444"/>
      <c r="U183" s="1445"/>
      <c r="V183" s="1445"/>
      <c r="W183" s="2529"/>
      <c r="Y183" s="1268"/>
      <c r="Z183" s="1268"/>
      <c r="AA183" s="1268"/>
      <c r="AB183" s="1268"/>
      <c r="AC183" s="1268"/>
      <c r="AD183" s="1268"/>
      <c r="AE183" s="1268"/>
      <c r="AF183" s="1268"/>
      <c r="AG183" s="1268"/>
      <c r="AH183" s="1268"/>
      <c r="AI183" s="1268"/>
      <c r="AJ183" s="1268"/>
      <c r="AK183" s="1268"/>
    </row>
    <row s="1859" customFormat="1" customHeight="1" ht="17.25">
      <c r="A184" s="1846"/>
      <c r="C184" s="1851"/>
      <c r="D184" s="1838"/>
      <c r="E184" s="1853"/>
      <c r="F184" s="1792"/>
      <c r="G184" s="1854"/>
      <c r="H184" s="2531"/>
      <c r="I184" s="2531"/>
      <c r="J184" s="2561"/>
      <c r="K184" s="2214"/>
      <c r="L184" s="2531"/>
      <c r="M184" s="2531"/>
      <c r="N184" s="2533"/>
      <c r="O184" s="2140"/>
      <c r="P184" s="326"/>
      <c r="Q184" s="327"/>
      <c r="R184" s="327" t="s">
        <v>430</v>
      </c>
      <c r="S184" s="1852"/>
      <c r="T184" s="1852"/>
      <c r="U184" s="1852"/>
      <c r="V184" s="1852"/>
      <c r="W184" s="1442"/>
      <c r="Y184" s="1268"/>
      <c r="Z184" s="1268"/>
      <c r="AA184" s="1268"/>
      <c r="AB184" s="1268"/>
      <c r="AC184" s="1268"/>
      <c r="AD184" s="1268"/>
      <c r="AE184" s="1268"/>
      <c r="AF184" s="1268"/>
      <c r="AG184" s="1268"/>
      <c r="AH184" s="1268"/>
      <c r="AI184" s="1268"/>
      <c r="AJ184" s="1268"/>
      <c r="AK184" s="1268"/>
    </row>
    <row s="1859" customFormat="1" customHeight="1" ht="17.25">
      <c r="A185" s="1846"/>
      <c r="C185" s="1851"/>
      <c r="D185" s="1838"/>
      <c r="E185" s="1853"/>
      <c r="F185" s="1792"/>
      <c r="G185" s="1854"/>
      <c r="H185" s="2531"/>
      <c r="I185" s="2531"/>
      <c r="J185" s="2561"/>
      <c r="K185" s="2140"/>
      <c r="L185" s="326"/>
      <c r="M185" s="327"/>
      <c r="N185" s="327" t="s">
        <v>431</v>
      </c>
      <c r="O185" s="327"/>
      <c r="P185" s="327"/>
      <c r="Q185" s="327"/>
      <c r="R185" s="327"/>
      <c r="S185" s="1852"/>
      <c r="T185" s="1852"/>
      <c r="U185" s="1852"/>
      <c r="V185" s="1852"/>
      <c r="W185" s="328"/>
      <c r="Y185" s="1268"/>
      <c r="Z185" s="1268"/>
      <c r="AA185" s="1268"/>
      <c r="AB185" s="1268"/>
      <c r="AC185" s="1268"/>
      <c r="AD185" s="1268"/>
      <c r="AE185" s="1268"/>
      <c r="AF185" s="1268"/>
      <c r="AG185" s="1268"/>
      <c r="AH185" s="1268"/>
      <c r="AI185" s="1268"/>
      <c r="AJ185" s="1268"/>
      <c r="AK185" s="1268"/>
    </row>
    <row customHeight="1" ht="17.25">
      <c r="A186" s="1856"/>
    </row>
    <row s="1859" customFormat="1" customHeight="1" ht="17.25">
      <c r="A187" s="1846"/>
      <c r="C187" s="1848"/>
      <c r="D187" s="1838"/>
      <c r="E187" s="1853"/>
      <c r="F187" s="1792"/>
      <c r="G187" s="1854"/>
      <c r="H187" s="1838"/>
      <c r="I187" s="1838"/>
      <c r="J187" s="1857"/>
      <c r="K187" s="1854"/>
      <c r="L187" s="2136"/>
      <c r="M187" s="2136" t="s">
        <v>118</v>
      </c>
      <c r="N187" s="2532" t="str">
        <f>IF(Z187="","",INDEX(TERRITORY_MR_LIST,MATCH(Z187,TERRITORY_LIST_ID,0)))</f>
        <v/>
      </c>
      <c r="O187" s="2213" t="s">
        <v>63</v>
      </c>
      <c r="P187" s="2136"/>
      <c r="Q187" s="2136" t="s">
        <v>118</v>
      </c>
      <c r="R187" s="2530" t="s">
        <v>22</v>
      </c>
      <c r="S187" s="2434" t="s">
        <v>19</v>
      </c>
      <c r="T187" s="1810"/>
      <c r="U187" s="1810" t="s">
        <v>118</v>
      </c>
      <c r="V187" s="1443"/>
      <c r="W187" s="2529"/>
      <c r="Y187" s="1276"/>
      <c r="Z187" s="1276"/>
      <c r="AA187" s="1276"/>
      <c r="AB187" s="1276"/>
      <c r="AC187" s="1276"/>
      <c r="AD187" s="1276"/>
      <c r="AE187" s="1276"/>
      <c r="AF187" s="1276"/>
      <c r="AG187" s="1276"/>
      <c r="AH187" s="1276"/>
      <c r="AI187" s="1276"/>
      <c r="AJ187" s="1276"/>
      <c r="AK187" s="1276"/>
      <c r="AL187" s="1850"/>
      <c r="AM187" s="1850"/>
      <c r="AN187" s="1276"/>
      <c r="AO187" s="1276"/>
      <c r="AP187" s="1276"/>
      <c r="AQ187" s="1276"/>
    </row>
    <row s="1859" customFormat="1" customHeight="1" ht="17.25">
      <c r="A188" s="1846"/>
      <c r="C188" s="1851"/>
      <c r="D188" s="1838"/>
      <c r="E188" s="1853"/>
      <c r="F188" s="1792"/>
      <c r="G188" s="1854"/>
      <c r="H188" s="1838"/>
      <c r="I188" s="1838"/>
      <c r="J188" s="1857"/>
      <c r="K188" s="1854"/>
      <c r="L188" s="2136"/>
      <c r="M188" s="2136"/>
      <c r="N188" s="2532"/>
      <c r="O188" s="2214"/>
      <c r="P188" s="2136"/>
      <c r="Q188" s="2136"/>
      <c r="R188" s="2530"/>
      <c r="S188" s="2434"/>
      <c r="T188" s="1444"/>
      <c r="U188" s="1445"/>
      <c r="V188" s="1445"/>
      <c r="W188" s="2529"/>
      <c r="Y188" s="1268"/>
      <c r="Z188" s="1268"/>
      <c r="AA188" s="1268"/>
      <c r="AB188" s="1268"/>
      <c r="AC188" s="1268"/>
      <c r="AD188" s="1268"/>
      <c r="AE188" s="1268"/>
      <c r="AF188" s="1268"/>
      <c r="AG188" s="1268"/>
      <c r="AH188" s="1268"/>
      <c r="AI188" s="1268"/>
      <c r="AJ188" s="1268"/>
      <c r="AK188" s="1268"/>
    </row>
    <row s="1859" customFormat="1" customHeight="1" ht="17.25">
      <c r="A189" s="1846"/>
      <c r="C189" s="1851"/>
      <c r="D189" s="1838"/>
      <c r="E189" s="1853"/>
      <c r="F189" s="1792"/>
      <c r="G189" s="1854"/>
      <c r="H189" s="1838"/>
      <c r="I189" s="1838"/>
      <c r="J189" s="1857"/>
      <c r="K189" s="1854"/>
      <c r="L189" s="2531"/>
      <c r="M189" s="2531"/>
      <c r="N189" s="2533"/>
      <c r="O189" s="2140"/>
      <c r="P189" s="326"/>
      <c r="Q189" s="327"/>
      <c r="R189" s="327" t="s">
        <v>430</v>
      </c>
      <c r="S189" s="1852"/>
      <c r="T189" s="1852"/>
      <c r="U189" s="1852"/>
      <c r="V189" s="1852"/>
      <c r="W189" s="1442"/>
      <c r="Y189" s="1268"/>
      <c r="Z189" s="1268"/>
      <c r="AA189" s="1268"/>
      <c r="AB189" s="1268"/>
      <c r="AC189" s="1268"/>
      <c r="AD189" s="1268"/>
      <c r="AE189" s="1268"/>
      <c r="AF189" s="1268"/>
      <c r="AG189" s="1268"/>
      <c r="AH189" s="1268"/>
      <c r="AI189" s="1268"/>
      <c r="AJ189" s="1268"/>
      <c r="AK189" s="1268"/>
    </row>
    <row customHeight="1" ht="17.25">
      <c r="A190" s="1856"/>
    </row>
    <row s="1859" customFormat="1" customHeight="1" ht="17.25">
      <c r="A191" s="1846"/>
      <c r="C191" s="1848"/>
      <c r="D191" s="1838"/>
      <c r="E191" s="1853"/>
      <c r="F191" s="1792"/>
      <c r="G191" s="1854"/>
      <c r="H191" s="1838"/>
      <c r="I191" s="1838"/>
      <c r="J191" s="1857"/>
      <c r="K191" s="1854"/>
      <c r="L191" s="1838"/>
      <c r="M191" s="1838"/>
      <c r="N191" s="2054"/>
      <c r="O191" s="1795"/>
      <c r="P191" s="2136"/>
      <c r="Q191" s="2136" t="s">
        <v>118</v>
      </c>
      <c r="R191" s="2530" t="s">
        <v>22</v>
      </c>
      <c r="S191" s="2434" t="s">
        <v>19</v>
      </c>
      <c r="T191" s="1810"/>
      <c r="U191" s="1810" t="s">
        <v>118</v>
      </c>
      <c r="V191" s="1443"/>
      <c r="W191" s="2529"/>
      <c r="Y191" s="1276"/>
      <c r="Z191" s="1276"/>
      <c r="AA191" s="1276"/>
      <c r="AB191" s="1276"/>
      <c r="AC191" s="1276"/>
      <c r="AD191" s="1276"/>
      <c r="AE191" s="1276"/>
      <c r="AF191" s="1276"/>
      <c r="AG191" s="1276"/>
      <c r="AH191" s="1276"/>
      <c r="AI191" s="1276"/>
      <c r="AJ191" s="1276"/>
      <c r="AK191" s="1276"/>
      <c r="AL191" s="1850"/>
      <c r="AM191" s="1850"/>
      <c r="AN191" s="1276"/>
      <c r="AO191" s="1276"/>
      <c r="AP191" s="1276"/>
      <c r="AQ191" s="1276"/>
    </row>
    <row s="1859" customFormat="1" customHeight="1" ht="17.25">
      <c r="A192" s="1846"/>
      <c r="C192" s="1851"/>
      <c r="D192" s="1838"/>
      <c r="E192" s="1853"/>
      <c r="F192" s="1792"/>
      <c r="G192" s="1854"/>
      <c r="H192" s="1838"/>
      <c r="I192" s="1838"/>
      <c r="J192" s="1857"/>
      <c r="K192" s="1854"/>
      <c r="L192" s="1838"/>
      <c r="M192" s="1838"/>
      <c r="N192" s="2054"/>
      <c r="O192" s="1795"/>
      <c r="P192" s="2136"/>
      <c r="Q192" s="2136"/>
      <c r="R192" s="2530"/>
      <c r="S192" s="2434"/>
      <c r="T192" s="1444"/>
      <c r="U192" s="1445"/>
      <c r="V192" s="1445"/>
      <c r="W192" s="2529"/>
      <c r="Y192" s="1268"/>
      <c r="Z192" s="1268"/>
      <c r="AA192" s="1268"/>
      <c r="AB192" s="1268"/>
      <c r="AC192" s="1268"/>
      <c r="AD192" s="1268"/>
      <c r="AE192" s="1268"/>
      <c r="AF192" s="1268"/>
      <c r="AG192" s="1268"/>
      <c r="AH192" s="1268"/>
      <c r="AI192" s="1268"/>
      <c r="AJ192" s="1268"/>
      <c r="AK192" s="1268"/>
    </row>
    <row customHeight="1" ht="17.25">
      <c r="A193" s="1856"/>
    </row>
    <row customHeight="1" ht="16.5">
      <c r="A194" s="1846"/>
      <c r="B194" s="1847"/>
      <c r="C194" s="1851"/>
      <c r="D194" s="2581"/>
      <c r="E194" s="2207"/>
      <c r="F194" s="2207"/>
      <c r="G194" s="2155"/>
      <c r="H194" s="2582"/>
      <c r="I194" s="2595"/>
      <c r="J194" s="2180"/>
      <c r="K194" s="2165"/>
      <c r="L194" s="2165"/>
      <c r="M194" s="2165"/>
      <c r="N194" s="2593"/>
      <c r="O194" s="2165"/>
      <c r="P194" s="2165"/>
      <c r="Q194" s="2165"/>
      <c r="R194" s="2591"/>
      <c r="S194" s="2165"/>
      <c r="T194" s="1791"/>
      <c r="U194" s="1791"/>
      <c r="V194" s="1858"/>
      <c r="W194" s="1305"/>
    </row>
    <row customHeight="1" ht="16.5">
      <c r="A195" s="1846"/>
      <c r="B195" s="1847"/>
      <c r="C195" s="1851"/>
      <c r="D195" s="2581"/>
      <c r="E195" s="2207"/>
      <c r="F195" s="2207"/>
      <c r="G195" s="2155"/>
      <c r="H195" s="2583"/>
      <c r="I195" s="2596"/>
      <c r="J195" s="2181"/>
      <c r="K195" s="2166"/>
      <c r="L195" s="2166"/>
      <c r="M195" s="2166"/>
      <c r="N195" s="2594"/>
      <c r="O195" s="2166"/>
      <c r="P195" s="2166"/>
      <c r="Q195" s="2166"/>
      <c r="R195" s="2592"/>
      <c r="S195" s="2166"/>
      <c r="T195" s="1306"/>
      <c r="U195" s="1306"/>
      <c r="V195" s="1306"/>
      <c r="W195" s="1307"/>
    </row>
    <row customHeight="1" ht="17.25">
      <c r="A196" s="1846"/>
      <c r="B196" s="1847"/>
      <c r="C196" s="1851"/>
      <c r="D196" s="2581"/>
      <c r="E196" s="2207"/>
      <c r="F196" s="2207"/>
      <c r="G196" s="2155"/>
      <c r="H196" s="2583"/>
      <c r="I196" s="2596"/>
      <c r="J196" s="2584"/>
      <c r="K196" s="2166"/>
      <c r="L196" s="2166"/>
      <c r="M196" s="2166"/>
      <c r="N196" s="2592"/>
      <c r="O196" s="2166"/>
      <c r="P196" s="1794"/>
      <c r="Q196" s="1306"/>
      <c r="R196" s="1306"/>
      <c r="S196" s="1859"/>
      <c r="T196" s="1859"/>
      <c r="U196" s="1859"/>
      <c r="V196" s="1859"/>
      <c r="W196" s="1307"/>
    </row>
    <row customHeight="1" ht="17.25">
      <c r="A197" s="1846"/>
      <c r="B197" s="1847"/>
      <c r="C197" s="1851"/>
      <c r="D197" s="2581"/>
      <c r="E197" s="2207"/>
      <c r="F197" s="2207"/>
      <c r="G197" s="2155"/>
      <c r="H197" s="2583"/>
      <c r="I197" s="2596"/>
      <c r="J197" s="2584"/>
      <c r="K197" s="2166"/>
      <c r="L197" s="1306"/>
      <c r="M197" s="1306"/>
      <c r="N197" s="1306"/>
      <c r="O197" s="1306"/>
      <c r="P197" s="1306"/>
      <c r="Q197" s="1306"/>
      <c r="R197" s="1306"/>
      <c r="S197" s="1859"/>
      <c r="T197" s="1859"/>
      <c r="U197" s="1859"/>
      <c r="V197" s="1859"/>
      <c r="W197" s="1307"/>
    </row>
    <row customHeight="1" ht="17.25">
      <c r="A198" s="1846"/>
      <c r="B198" s="1847"/>
      <c r="C198" s="1851"/>
      <c r="D198" s="2581"/>
      <c r="E198" s="2207"/>
      <c r="F198" s="2207"/>
      <c r="G198" s="2155"/>
      <c r="H198" s="1308"/>
      <c r="I198" s="1309"/>
      <c r="J198" s="1309"/>
      <c r="K198" s="1309"/>
      <c r="L198" s="1309"/>
      <c r="M198" s="1309"/>
      <c r="N198" s="1309"/>
      <c r="O198" s="1309"/>
      <c r="P198" s="1309"/>
      <c r="Q198" s="1309"/>
      <c r="R198" s="1309"/>
      <c r="S198" s="1860"/>
      <c r="T198" s="1860"/>
      <c r="U198" s="1860"/>
      <c r="V198" s="1860"/>
      <c r="W198" s="1311"/>
    </row>
    <row r="200" s="1823" customFormat="1" customHeight="1" ht="17.25">
      <c r="A200" s="1823" t="s">
        <v>2183</v>
      </c>
    </row>
    <row customHeight="1" ht="17.25">
      <c r="G201" s="1845"/>
      <c r="H201" s="1845"/>
      <c r="I201" s="1845"/>
      <c r="M201" s="1841"/>
    </row>
    <row s="1856" customFormat="1" customHeight="1" ht="15">
      <c r="D202" s="2551"/>
      <c r="E202" s="2227"/>
      <c r="F202" s="2227"/>
      <c r="G202" s="2213"/>
      <c r="H202" s="1573"/>
      <c r="I202" s="2555">
        <v>1</v>
      </c>
      <c r="J202" s="2529"/>
      <c r="K202" s="1588"/>
      <c r="L202" s="2213" t="s">
        <v>63</v>
      </c>
      <c r="M202" s="2213" t="s">
        <v>63</v>
      </c>
      <c r="N202" s="1573"/>
      <c r="O202" s="2136" t="s">
        <v>118</v>
      </c>
      <c r="P202" s="2545"/>
      <c r="Q202" s="1589"/>
      <c r="R202" s="2213" t="s">
        <v>63</v>
      </c>
      <c r="S202" s="2213" t="s">
        <v>63</v>
      </c>
      <c r="T202" s="1861"/>
      <c r="U202" s="2136" t="s">
        <v>118</v>
      </c>
      <c r="V202" s="2552" t="str">
        <f>IF(AK202="","",INDEX(TERRITORY_MR_LIST,MATCH(AK202,TERRITORY_LIST_ID,0)))</f>
        <v/>
      </c>
      <c r="W202" s="1590"/>
      <c r="X202" s="2213" t="s">
        <v>63</v>
      </c>
      <c r="Y202" s="2213" t="s">
        <v>19</v>
      </c>
      <c r="Z202" s="1573"/>
      <c r="AA202" s="2136" t="s">
        <v>118</v>
      </c>
      <c r="AB202" s="2554"/>
      <c r="AC202" s="1591"/>
      <c r="AD202" s="2213" t="s">
        <v>63</v>
      </c>
      <c r="AE202" s="2213" t="s">
        <v>19</v>
      </c>
      <c r="AF202" s="1571"/>
      <c r="AG202" s="1819" t="s">
        <v>118</v>
      </c>
      <c r="AH202" s="1581"/>
      <c r="AI202" s="1809"/>
    </row>
    <row s="1856" customFormat="1" customHeight="1" ht="15">
      <c r="D203" s="2551"/>
      <c r="E203" s="2227"/>
      <c r="F203" s="2227"/>
      <c r="G203" s="2214"/>
      <c r="H203" s="1573"/>
      <c r="I203" s="2555"/>
      <c r="J203" s="2529"/>
      <c r="K203" s="1572"/>
      <c r="L203" s="2214"/>
      <c r="M203" s="2214"/>
      <c r="N203" s="1573"/>
      <c r="O203" s="2136"/>
      <c r="P203" s="2545"/>
      <c r="Q203" s="1569"/>
      <c r="R203" s="2214"/>
      <c r="S203" s="2214"/>
      <c r="T203" s="1861"/>
      <c r="U203" s="2136"/>
      <c r="V203" s="2553"/>
      <c r="W203" s="1570"/>
      <c r="X203" s="2214"/>
      <c r="Y203" s="2214"/>
      <c r="Z203" s="1573"/>
      <c r="AA203" s="2136"/>
      <c r="AB203" s="2523"/>
      <c r="AC203" s="1574"/>
      <c r="AD203" s="2140"/>
      <c r="AE203" s="2140"/>
      <c r="AF203" s="1575"/>
      <c r="AG203" s="1576"/>
      <c r="AH203" s="2546" t="s">
        <v>2184</v>
      </c>
      <c r="AI203" s="2547"/>
    </row>
    <row s="1856" customFormat="1" customHeight="1" ht="15">
      <c r="D204" s="2551"/>
      <c r="E204" s="2227"/>
      <c r="F204" s="2227"/>
      <c r="G204" s="2214"/>
      <c r="H204" s="1573"/>
      <c r="I204" s="2555"/>
      <c r="J204" s="2529"/>
      <c r="K204" s="1572"/>
      <c r="L204" s="2214"/>
      <c r="M204" s="2214"/>
      <c r="N204" s="1573"/>
      <c r="O204" s="2136"/>
      <c r="P204" s="2545"/>
      <c r="Q204" s="1569"/>
      <c r="R204" s="2214"/>
      <c r="S204" s="2214"/>
      <c r="T204" s="1861"/>
      <c r="U204" s="2136"/>
      <c r="V204" s="2553"/>
      <c r="W204" s="1570"/>
      <c r="X204" s="2214"/>
      <c r="Y204" s="2214"/>
      <c r="Z204" s="1612"/>
      <c r="AA204" s="1578"/>
      <c r="AB204" s="2548" t="s">
        <v>2185</v>
      </c>
      <c r="AC204" s="2548"/>
      <c r="AD204" s="2548"/>
      <c r="AE204" s="2548"/>
      <c r="AF204" s="2548"/>
      <c r="AG204" s="2548"/>
      <c r="AH204" s="2548"/>
      <c r="AI204" s="2549"/>
    </row>
    <row s="1856" customFormat="1" customHeight="1" ht="15">
      <c r="D205" s="2551"/>
      <c r="E205" s="2227"/>
      <c r="F205" s="2227"/>
      <c r="G205" s="2214"/>
      <c r="H205" s="1573"/>
      <c r="I205" s="2555"/>
      <c r="J205" s="2529"/>
      <c r="K205" s="1572"/>
      <c r="L205" s="2214"/>
      <c r="M205" s="2214"/>
      <c r="N205" s="1573"/>
      <c r="O205" s="2136"/>
      <c r="P205" s="2550"/>
      <c r="Q205" s="1569"/>
      <c r="R205" s="2214"/>
      <c r="S205" s="2214"/>
      <c r="T205" s="1862"/>
      <c r="U205" s="1613"/>
      <c r="V205" s="2546" t="s">
        <v>112</v>
      </c>
      <c r="W205" s="2546"/>
      <c r="X205" s="2546"/>
      <c r="Y205" s="2546"/>
      <c r="Z205" s="2546"/>
      <c r="AA205" s="2546"/>
      <c r="AB205" s="2546"/>
      <c r="AC205" s="2546"/>
      <c r="AD205" s="2546"/>
      <c r="AE205" s="2546"/>
      <c r="AF205" s="2546"/>
      <c r="AG205" s="2546"/>
      <c r="AH205" s="2546"/>
      <c r="AI205" s="2547"/>
    </row>
    <row s="1856" customFormat="1" customHeight="1" ht="11.25">
      <c r="D206" s="2551"/>
      <c r="E206" s="2227"/>
      <c r="F206" s="2227"/>
      <c r="G206" s="2214"/>
      <c r="H206" s="1577"/>
      <c r="I206" s="2555"/>
      <c r="J206" s="2556"/>
      <c r="K206" s="1572"/>
      <c r="L206" s="2214"/>
      <c r="M206" s="2214"/>
      <c r="N206" s="1577"/>
      <c r="O206" s="1578"/>
      <c r="P206" s="2546" t="s">
        <v>2186</v>
      </c>
      <c r="Q206" s="2546"/>
      <c r="R206" s="2546"/>
      <c r="S206" s="2546"/>
      <c r="T206" s="2546"/>
      <c r="U206" s="2546"/>
      <c r="V206" s="2546"/>
      <c r="W206" s="2546"/>
      <c r="X206" s="2546"/>
      <c r="Y206" s="2546"/>
      <c r="Z206" s="2546"/>
      <c r="AA206" s="2546"/>
      <c r="AB206" s="2546"/>
      <c r="AC206" s="2546"/>
      <c r="AD206" s="2546"/>
      <c r="AE206" s="2546"/>
      <c r="AF206" s="2546"/>
      <c r="AG206" s="2546"/>
      <c r="AH206" s="2546"/>
      <c r="AI206" s="2547"/>
    </row>
    <row s="1563" customFormat="1" customHeight="1" ht="11.25">
      <c r="D207" s="2551"/>
      <c r="E207" s="2227"/>
      <c r="F207" s="2227"/>
      <c r="G207" s="2140"/>
      <c r="H207" s="1579"/>
      <c r="I207" s="1580"/>
      <c r="J207" s="2546" t="s">
        <v>459</v>
      </c>
      <c r="K207" s="2546"/>
      <c r="L207" s="2546"/>
      <c r="M207" s="2546"/>
      <c r="N207" s="2546"/>
      <c r="O207" s="2546"/>
      <c r="P207" s="2546"/>
      <c r="Q207" s="2546"/>
      <c r="R207" s="2546"/>
      <c r="S207" s="2546"/>
      <c r="T207" s="2546"/>
      <c r="U207" s="2546"/>
      <c r="V207" s="2546"/>
      <c r="W207" s="2546"/>
      <c r="X207" s="2546"/>
      <c r="Y207" s="2546"/>
      <c r="Z207" s="2546"/>
      <c r="AA207" s="2546"/>
      <c r="AB207" s="2546"/>
      <c r="AC207" s="2546"/>
      <c r="AD207" s="2546"/>
      <c r="AE207" s="2546"/>
      <c r="AF207" s="2546"/>
      <c r="AG207" s="2546"/>
      <c r="AH207" s="2546"/>
      <c r="AI207" s="2547"/>
      <c r="BK207" s="1583"/>
    </row>
    <row customHeight="1" ht="17.25">
      <c r="G208" s="1845"/>
      <c r="I208" s="1845"/>
      <c r="J208" s="1845"/>
      <c r="N208" s="1841"/>
    </row>
    <row s="1856" customFormat="1" customHeight="1" ht="15">
      <c r="D209" s="2551"/>
      <c r="E209" s="2227"/>
      <c r="F209" s="2227"/>
      <c r="G209" s="2207"/>
      <c r="H209" s="1608"/>
      <c r="I209" s="2209"/>
      <c r="J209" s="2180"/>
      <c r="K209" s="1793"/>
      <c r="L209" s="2165"/>
      <c r="M209" s="2165"/>
      <c r="N209" s="1593"/>
      <c r="O209" s="2165"/>
      <c r="P209" s="2180"/>
      <c r="Q209" s="1797"/>
      <c r="R209" s="2165"/>
      <c r="S209" s="2165"/>
      <c r="T209" s="1863"/>
      <c r="U209" s="2165"/>
      <c r="V209" s="2180"/>
      <c r="W209" s="1596"/>
      <c r="X209" s="2165"/>
      <c r="Y209" s="2165"/>
      <c r="Z209" s="1593"/>
      <c r="AA209" s="2165"/>
      <c r="AB209" s="2180"/>
      <c r="AC209" s="1597"/>
      <c r="AD209" s="2165"/>
      <c r="AE209" s="2165"/>
      <c r="AF209" s="1791"/>
      <c r="AG209" s="1791"/>
      <c r="AH209" s="1598"/>
      <c r="AI209" s="1305"/>
    </row>
    <row s="1856" customFormat="1" customHeight="1" ht="15">
      <c r="D210" s="2551"/>
      <c r="E210" s="2227"/>
      <c r="F210" s="2227"/>
      <c r="G210" s="2207"/>
      <c r="H210" s="1609"/>
      <c r="I210" s="2210"/>
      <c r="J210" s="2181"/>
      <c r="K210" s="1619"/>
      <c r="L210" s="2166"/>
      <c r="M210" s="2166"/>
      <c r="N210" s="1599"/>
      <c r="O210" s="2166"/>
      <c r="P210" s="2181"/>
      <c r="Q210" s="1798"/>
      <c r="R210" s="2166"/>
      <c r="S210" s="2166"/>
      <c r="T210" s="1864"/>
      <c r="U210" s="2166"/>
      <c r="V210" s="2181"/>
      <c r="W210" s="1602"/>
      <c r="X210" s="2166"/>
      <c r="Y210" s="2166"/>
      <c r="Z210" s="1599"/>
      <c r="AA210" s="2166"/>
      <c r="AB210" s="2181"/>
      <c r="AC210" s="1603"/>
      <c r="AD210" s="2166"/>
      <c r="AE210" s="2166"/>
      <c r="AF210" s="1796"/>
      <c r="AG210" s="1796"/>
      <c r="AH210" s="2205"/>
      <c r="AI210" s="2206"/>
    </row>
    <row s="1856" customFormat="1" customHeight="1" ht="15">
      <c r="D211" s="2551"/>
      <c r="E211" s="2227"/>
      <c r="F211" s="2227"/>
      <c r="G211" s="2207"/>
      <c r="H211" s="1609"/>
      <c r="I211" s="2210"/>
      <c r="J211" s="2181"/>
      <c r="K211" s="1619"/>
      <c r="L211" s="2166"/>
      <c r="M211" s="2166"/>
      <c r="N211" s="1599"/>
      <c r="O211" s="2166"/>
      <c r="P211" s="2181"/>
      <c r="Q211" s="1798"/>
      <c r="R211" s="2166"/>
      <c r="S211" s="2166"/>
      <c r="T211" s="1864"/>
      <c r="U211" s="2166"/>
      <c r="V211" s="2181"/>
      <c r="W211" s="1602"/>
      <c r="X211" s="2166"/>
      <c r="Y211" s="2166"/>
      <c r="Z211" s="1794"/>
      <c r="AA211" s="1796"/>
      <c r="AB211" s="2205"/>
      <c r="AC211" s="2205"/>
      <c r="AD211" s="2205"/>
      <c r="AE211" s="2205"/>
      <c r="AF211" s="2205"/>
      <c r="AG211" s="2205"/>
      <c r="AH211" s="2205"/>
      <c r="AI211" s="2206"/>
    </row>
    <row s="1856" customFormat="1" customHeight="1" ht="15">
      <c r="D212" s="2551"/>
      <c r="E212" s="2227"/>
      <c r="F212" s="2227"/>
      <c r="G212" s="2207"/>
      <c r="H212" s="1609"/>
      <c r="I212" s="2210"/>
      <c r="J212" s="2181"/>
      <c r="K212" s="1619"/>
      <c r="L212" s="2166"/>
      <c r="M212" s="2166"/>
      <c r="N212" s="1599"/>
      <c r="O212" s="2166"/>
      <c r="P212" s="2181"/>
      <c r="Q212" s="1798"/>
      <c r="R212" s="2166"/>
      <c r="S212" s="2166"/>
      <c r="T212" s="1865"/>
      <c r="U212" s="1606"/>
      <c r="V212" s="2205"/>
      <c r="W212" s="2205"/>
      <c r="X212" s="2205"/>
      <c r="Y212" s="2205"/>
      <c r="Z212" s="2205"/>
      <c r="AA212" s="2205"/>
      <c r="AB212" s="2205"/>
      <c r="AC212" s="2205"/>
      <c r="AD212" s="2205"/>
      <c r="AE212" s="2205"/>
      <c r="AF212" s="2205"/>
      <c r="AG212" s="2205"/>
      <c r="AH212" s="2205"/>
      <c r="AI212" s="2206"/>
    </row>
    <row s="1856" customFormat="1" customHeight="1" ht="11.25">
      <c r="D213" s="2551"/>
      <c r="E213" s="2227"/>
      <c r="F213" s="2227"/>
      <c r="G213" s="2207"/>
      <c r="H213" s="1610"/>
      <c r="I213" s="2210"/>
      <c r="J213" s="2181"/>
      <c r="K213" s="1619"/>
      <c r="L213" s="2166"/>
      <c r="M213" s="2166"/>
      <c r="N213" s="1796"/>
      <c r="O213" s="1796"/>
      <c r="P213" s="2205"/>
      <c r="Q213" s="2205"/>
      <c r="R213" s="2205"/>
      <c r="S213" s="2205"/>
      <c r="T213" s="2205"/>
      <c r="U213" s="2205"/>
      <c r="V213" s="2205"/>
      <c r="W213" s="2205"/>
      <c r="X213" s="2205"/>
      <c r="Y213" s="2205"/>
      <c r="Z213" s="2205"/>
      <c r="AA213" s="2205"/>
      <c r="AB213" s="2205"/>
      <c r="AC213" s="2205"/>
      <c r="AD213" s="2205"/>
      <c r="AE213" s="2205"/>
      <c r="AF213" s="2205"/>
      <c r="AG213" s="2205"/>
      <c r="AH213" s="2205"/>
      <c r="AI213" s="2206"/>
    </row>
    <row s="1563" customFormat="1" customHeight="1" ht="11.25">
      <c r="D214" s="2551"/>
      <c r="E214" s="2227"/>
      <c r="F214" s="2227"/>
      <c r="G214" s="2212"/>
      <c r="H214" s="1607"/>
      <c r="I214" s="1611"/>
      <c r="J214" s="2215"/>
      <c r="K214" s="2215"/>
      <c r="L214" s="2215"/>
      <c r="M214" s="2215"/>
      <c r="N214" s="2215"/>
      <c r="O214" s="2215"/>
      <c r="P214" s="2215"/>
      <c r="Q214" s="2215"/>
      <c r="R214" s="2215"/>
      <c r="S214" s="2215"/>
      <c r="T214" s="2215"/>
      <c r="U214" s="2215"/>
      <c r="V214" s="2215"/>
      <c r="W214" s="2215"/>
      <c r="X214" s="2215"/>
      <c r="Y214" s="2215"/>
      <c r="Z214" s="2215"/>
      <c r="AA214" s="2215"/>
      <c r="AB214" s="2215"/>
      <c r="AC214" s="2215"/>
      <c r="AD214" s="2215"/>
      <c r="AE214" s="2215"/>
      <c r="AF214" s="2215"/>
      <c r="AG214" s="2215"/>
      <c r="AH214" s="2215"/>
      <c r="AI214" s="2216"/>
      <c r="BK214" s="1583"/>
    </row>
    <row customHeight="1" ht="17.25">
      <c r="A215" s="1856"/>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9CBBB-3718-AC8F-2F2A-0.9FD797D4}"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9" width="43.140625"/>
    <col min="2" max="2" style="849" width="43.140625" hidden="1"/>
    <col min="3" max="3" style="849" width="43.140625"/>
    <col min="4" max="5" style="849" width="36.421875" customWidth="1"/>
    <col min="6" max="8" style="990" width="36.421875" customWidth="1"/>
  </cols>
  <sheetData>
    <row customHeight="1" ht="9">
      <c r="A1" s="855" t="s">
        <v>2187</v>
      </c>
      <c r="B1" s="855"/>
      <c r="C1" s="991" t="s">
        <v>2188</v>
      </c>
      <c r="D1" s="989" t="s">
        <v>848</v>
      </c>
      <c r="E1" s="989" t="s">
        <v>897</v>
      </c>
      <c r="F1" s="989" t="s">
        <v>950</v>
      </c>
      <c r="G1" s="989" t="s">
        <v>937</v>
      </c>
      <c r="H1" s="989" t="s">
        <v>1890</v>
      </c>
    </row>
    <row customHeight="1" ht="9">
      <c r="A2" s="992" t="s">
        <v>2189</v>
      </c>
      <c r="B2" s="992"/>
      <c r="C2" s="993" t="str">
        <f>INDEX(TEMPLATE_NUMBER_FORM_LIST,MATCH(TEMPLATE_SPHERE,TEMPLATE_SPHERE_LIST,0))</f>
        <v>16</v>
      </c>
      <c r="D2" s="992" t="s">
        <v>1123</v>
      </c>
      <c r="E2" s="992" t="s">
        <v>166</v>
      </c>
      <c r="F2" s="994" t="s">
        <v>166</v>
      </c>
      <c r="G2" s="992" t="s">
        <v>166</v>
      </c>
      <c r="H2" s="995"/>
    </row>
    <row customHeight="1" ht="63">
      <c r="A3" s="855"/>
      <c r="B3" s="855" t="s">
        <v>118</v>
      </c>
      <c r="C3" s="99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93" t="s">
        <v>2190</v>
      </c>
      <c r="E3" s="99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94"/>
      <c r="G3" s="995"/>
      <c r="H3" s="855"/>
    </row>
    <row customHeight="1" ht="243">
      <c r="A4" s="855" t="s">
        <v>2191</v>
      </c>
      <c r="B4" s="855" t="s">
        <v>103</v>
      </c>
      <c r="C4" s="99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92" t="s">
        <v>2192</v>
      </c>
      <c r="E4" s="99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92"/>
      <c r="G4" s="992"/>
      <c r="H4" s="855" t="s">
        <v>2193</v>
      </c>
    </row>
    <row customHeight="1" ht="117">
      <c r="A5" s="855" t="s">
        <v>2194</v>
      </c>
      <c r="B5" s="855" t="s">
        <v>91</v>
      </c>
      <c r="C5" s="99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855" t="s">
        <v>2195</v>
      </c>
      <c r="E5" s="85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95"/>
      <c r="G5" s="995"/>
      <c r="H5" s="855" t="s">
        <v>2196</v>
      </c>
    </row>
    <row customHeight="1" ht="90">
      <c r="A6" s="855" t="s">
        <v>2197</v>
      </c>
      <c r="B6" s="855" t="s">
        <v>92</v>
      </c>
      <c r="C6" s="99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85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85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855"/>
      <c r="G6" s="855"/>
      <c r="H6" s="995"/>
    </row>
    <row customHeight="1" ht="45">
      <c r="A7" s="855" t="s">
        <v>2198</v>
      </c>
      <c r="B7" s="855" t="s">
        <v>119</v>
      </c>
      <c r="C7" s="993" t="str">
        <f>IF(TEMPLATE_SPHERE="HEAT",D7,E7)</f>
        <v>Форма 11. Информация о расходах на капитальный и текущий ремонт основных средств</v>
      </c>
      <c r="D7" s="855" t="s">
        <v>2199</v>
      </c>
      <c r="E7" s="855" t="s">
        <v>2200</v>
      </c>
      <c r="F7" s="995"/>
      <c r="G7" s="995"/>
      <c r="H7" s="995"/>
    </row>
    <row customHeight="1" ht="108">
      <c r="A8" s="855" t="s">
        <v>2201</v>
      </c>
      <c r="B8" s="855" t="s">
        <v>93</v>
      </c>
      <c r="C8" s="99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855" t="s">
        <v>1467</v>
      </c>
      <c r="E8" s="855" t="s">
        <v>2202</v>
      </c>
      <c r="F8" s="995"/>
      <c r="G8" s="995"/>
      <c r="H8" s="995"/>
    </row>
    <row customHeight="1" ht="99">
      <c r="A9" s="855" t="s">
        <v>2203</v>
      </c>
      <c r="B9" s="855"/>
      <c r="C9" s="855" t="s">
        <v>2204</v>
      </c>
      <c r="D9" s="855"/>
      <c r="E9" s="855"/>
      <c r="F9" s="995"/>
      <c r="G9" s="995"/>
      <c r="H9" s="995"/>
    </row>
    <row customHeight="1" ht="126">
      <c r="A10" s="855" t="s">
        <v>2205</v>
      </c>
      <c r="B10" s="855"/>
      <c r="C10" s="855" t="s">
        <v>2206</v>
      </c>
      <c r="D10" s="855"/>
      <c r="E10" s="855"/>
      <c r="F10" s="995"/>
      <c r="G10" s="995"/>
      <c r="H10" s="995"/>
    </row>
    <row customHeight="1" ht="108">
      <c r="A11" s="855" t="s">
        <v>2207</v>
      </c>
      <c r="B11" s="855"/>
      <c r="C11" s="855" t="s">
        <v>2208</v>
      </c>
      <c r="D11" s="855"/>
      <c r="E11" s="855"/>
      <c r="F11" s="995"/>
      <c r="G11" s="995"/>
      <c r="H11" s="995"/>
    </row>
    <row customHeight="1" ht="54">
      <c r="A12" s="855" t="s">
        <v>2209</v>
      </c>
      <c r="B12" s="855"/>
      <c r="C12" s="855" t="s">
        <v>2210</v>
      </c>
      <c r="D12" s="855"/>
      <c r="E12" s="855"/>
      <c r="F12" s="995"/>
      <c r="G12" s="995"/>
      <c r="H12" s="995"/>
    </row>
    <row customHeight="1" ht="45">
      <c r="A13" s="855" t="s">
        <v>2211</v>
      </c>
      <c r="B13" s="855"/>
      <c r="C13" s="855" t="s">
        <v>2212</v>
      </c>
      <c r="D13" s="855"/>
      <c r="E13" s="855"/>
      <c r="F13" s="995"/>
      <c r="G13" s="995"/>
      <c r="H13" s="995"/>
    </row>
    <row customHeight="1" ht="117">
      <c r="A14" s="855" t="s">
        <v>2213</v>
      </c>
      <c r="B14" s="855"/>
      <c r="C14" s="855" t="s">
        <v>2214</v>
      </c>
      <c r="D14" s="855"/>
      <c r="E14" s="855"/>
      <c r="F14" s="995"/>
      <c r="G14" s="995"/>
      <c r="H14" s="995"/>
    </row>
    <row customHeight="1" ht="117">
      <c r="A15" s="855" t="s">
        <v>2215</v>
      </c>
      <c r="B15" s="855"/>
      <c r="C15" s="855" t="s">
        <v>2216</v>
      </c>
      <c r="D15" s="855"/>
      <c r="E15" s="855"/>
      <c r="F15" s="995"/>
      <c r="G15" s="995"/>
      <c r="H15" s="995"/>
    </row>
    <row customHeight="1" ht="63">
      <c r="A16" s="855" t="s">
        <v>2217</v>
      </c>
      <c r="B16" s="855"/>
      <c r="C16" s="855" t="s">
        <v>2218</v>
      </c>
      <c r="D16" s="855"/>
      <c r="E16" s="855"/>
      <c r="F16" s="995"/>
      <c r="G16" s="995"/>
      <c r="H16" s="995"/>
    </row>
    <row customHeight="1" ht="54">
      <c r="A17" s="855" t="s">
        <v>2219</v>
      </c>
      <c r="B17" s="855"/>
      <c r="C17" s="993" t="s">
        <v>2220</v>
      </c>
      <c r="D17" s="855"/>
      <c r="E17" s="855"/>
      <c r="F17" s="995"/>
      <c r="G17" s="995"/>
      <c r="H17" s="995"/>
    </row>
    <row customHeight="1" ht="27">
      <c r="A18" s="855" t="s">
        <v>2221</v>
      </c>
      <c r="B18" s="855"/>
      <c r="C18" s="993" t="s">
        <v>2222</v>
      </c>
      <c r="D18" s="855"/>
      <c r="E18" s="855"/>
      <c r="F18" s="995"/>
      <c r="G18" s="995"/>
      <c r="H18" s="995"/>
    </row>
    <row customHeight="1" ht="54">
      <c r="A19" s="855" t="s">
        <v>2223</v>
      </c>
      <c r="B19" s="855"/>
      <c r="C19" s="993" t="s">
        <v>2224</v>
      </c>
      <c r="D19" s="855"/>
      <c r="E19" s="855"/>
      <c r="F19" s="995"/>
      <c r="G19" s="995"/>
      <c r="H19" s="995"/>
    </row>
    <row customHeight="1" ht="36">
      <c r="A20" s="855" t="s">
        <v>2225</v>
      </c>
      <c r="B20" s="855"/>
      <c r="C20" s="993" t="s">
        <v>2226</v>
      </c>
      <c r="D20" s="855"/>
      <c r="E20" s="855"/>
      <c r="F20" s="995"/>
      <c r="G20" s="995"/>
      <c r="H20" s="995"/>
    </row>
    <row customHeight="1" ht="36">
      <c r="A21" s="855" t="s">
        <v>2227</v>
      </c>
      <c r="B21" s="855"/>
      <c r="C21" s="993" t="s">
        <v>2228</v>
      </c>
      <c r="D21" s="855"/>
      <c r="E21" s="855"/>
      <c r="F21" s="995"/>
      <c r="G21" s="995"/>
      <c r="H21" s="995"/>
    </row>
    <row customHeight="1" ht="27">
      <c r="A22" s="855" t="s">
        <v>2229</v>
      </c>
      <c r="B22" s="855"/>
      <c r="C22" s="993" t="s">
        <v>2230</v>
      </c>
      <c r="D22" s="855"/>
      <c r="E22" s="855"/>
      <c r="F22" s="995"/>
      <c r="G22" s="995"/>
      <c r="H22" s="995"/>
    </row>
    <row customHeight="1" ht="36">
      <c r="A23" s="855" t="s">
        <v>2231</v>
      </c>
      <c r="B23" s="855"/>
      <c r="C23" s="993" t="s">
        <v>2232</v>
      </c>
      <c r="D23" s="855"/>
      <c r="E23" s="855"/>
      <c r="F23" s="995"/>
      <c r="G23" s="995"/>
      <c r="H23" s="995"/>
    </row>
    <row customHeight="1" ht="28.5">
      <c r="A24" s="855" t="s">
        <v>2233</v>
      </c>
      <c r="B24" s="855"/>
      <c r="C24" s="993" t="s">
        <v>2234</v>
      </c>
      <c r="D24" s="855"/>
      <c r="E24" s="855"/>
      <c r="F24" s="995"/>
      <c r="G24" s="995"/>
      <c r="H24" s="995"/>
    </row>
    <row customHeight="1" ht="36">
      <c r="A25" s="855" t="s">
        <v>2235</v>
      </c>
      <c r="B25" s="855"/>
      <c r="C25" s="993" t="s">
        <v>2236</v>
      </c>
      <c r="D25" s="855"/>
      <c r="E25" s="855"/>
      <c r="F25" s="995"/>
      <c r="G25" s="995"/>
      <c r="H25" s="995"/>
    </row>
    <row customHeight="1" ht="27">
      <c r="A26" s="855" t="s">
        <v>2237</v>
      </c>
      <c r="B26" s="855"/>
      <c r="C26" s="993" t="s">
        <v>2238</v>
      </c>
      <c r="D26" s="855"/>
      <c r="E26" s="855"/>
      <c r="F26" s="995"/>
      <c r="G26" s="995"/>
      <c r="H26" s="995"/>
    </row>
    <row customHeight="1" ht="36">
      <c r="A27" s="855" t="s">
        <v>2239</v>
      </c>
      <c r="B27" s="855"/>
      <c r="C27" s="993" t="s">
        <v>2240</v>
      </c>
      <c r="D27" s="855"/>
      <c r="E27" s="855"/>
      <c r="F27" s="995"/>
      <c r="G27" s="995"/>
      <c r="H27" s="995"/>
    </row>
    <row customHeight="1" ht="28.5">
      <c r="A28" s="855" t="s">
        <v>2241</v>
      </c>
      <c r="B28" s="855"/>
      <c r="C28" s="993" t="s">
        <v>2242</v>
      </c>
      <c r="D28" s="855"/>
      <c r="E28" s="855"/>
      <c r="F28" s="995"/>
      <c r="G28" s="995"/>
      <c r="H28" s="995"/>
    </row>
    <row customHeight="1" ht="126">
      <c r="A29" s="855" t="s">
        <v>2243</v>
      </c>
      <c r="B29" s="855" t="s">
        <v>1146</v>
      </c>
      <c r="C29" s="99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855" t="s">
        <v>2244</v>
      </c>
      <c r="E29" s="85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95"/>
      <c r="G29" s="995"/>
      <c r="H29" s="855" t="s">
        <v>2245</v>
      </c>
    </row>
    <row customHeight="1" ht="36">
      <c r="A30" s="855" t="s">
        <v>2246</v>
      </c>
      <c r="B30" s="855"/>
      <c r="C30" s="99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855" t="s">
        <v>2247</v>
      </c>
      <c r="E30" s="85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95"/>
      <c r="G30" s="995"/>
      <c r="H30" s="995"/>
    </row>
    <row customHeight="1" ht="54">
      <c r="A31" s="855" t="s">
        <v>2248</v>
      </c>
      <c r="B31" s="855"/>
      <c r="C31" s="99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855" t="s">
        <v>2249</v>
      </c>
      <c r="E31" s="85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95"/>
      <c r="G31" s="995"/>
      <c r="H31" s="995"/>
    </row>
    <row customHeight="1" ht="198">
      <c r="A32" s="855" t="s">
        <v>2250</v>
      </c>
      <c r="B32" s="855"/>
      <c r="C32" s="99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855" t="s">
        <v>2251</v>
      </c>
      <c r="E32" s="85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95"/>
      <c r="G32" s="995"/>
      <c r="H32" s="855" t="s">
        <v>2252</v>
      </c>
    </row>
    <row customHeight="1" ht="9">
      <c r="A33" s="855"/>
      <c r="B33" s="855"/>
      <c r="C33" s="993"/>
      <c r="D33" s="855"/>
      <c r="E33" s="855"/>
      <c r="F33" s="995"/>
      <c r="G33" s="995"/>
      <c r="H33" s="995"/>
    </row>
    <row customHeight="1" ht="9">
      <c r="A34" s="855"/>
      <c r="B34" s="855" t="s">
        <v>1130</v>
      </c>
      <c r="C34" s="993">
        <f>INDEX(TEMPLATE_NAME_FORM_LIST,B34,MATCH(TEMPLATE_SPHERE,TEMPLATE_SPHERE_LIST,0))</f>
        <v>0</v>
      </c>
      <c r="D34" s="855"/>
      <c r="E34" s="855"/>
      <c r="F34" s="995"/>
      <c r="G34" s="995"/>
      <c r="H34" s="995"/>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E202A7E-0ECC-D9CA-9B15-0.7AC9D183}"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9" width="9.140625"/>
    <col min="3" max="7" style="851" width="8.00390625" customWidth="1"/>
    <col min="8" max="12" style="851" width="8.57421875" customWidth="1"/>
    <col min="13" max="14" style="851" width="27.7109375" customWidth="1"/>
    <col min="15" max="19" style="851" width="5.140625" customWidth="1"/>
    <col min="20" max="24" style="851" width="27.7109375" customWidth="1"/>
    <col min="25" max="25" style="1010" width="1.8515625" customWidth="1"/>
    <col min="26" max="26" style="849" width="27.7109375" customWidth="1"/>
    <col min="27" max="27" style="860" width="27.7109375" customWidth="1"/>
    <col min="28" max="29" style="849" width="27.7109375" customWidth="1"/>
    <col min="30" max="30" style="849" width="3.8515625" customWidth="1"/>
    <col min="31" max="34" style="849" width="9.140625"/>
  </cols>
  <sheetData>
    <row s="848" customFormat="1" customHeight="1" ht="18">
      <c r="A1" s="907"/>
      <c r="B1" s="907"/>
      <c r="C1" s="907" t="s">
        <v>2253</v>
      </c>
      <c r="D1" s="907"/>
      <c r="E1" s="907"/>
      <c r="F1" s="907"/>
      <c r="G1" s="907"/>
      <c r="H1" s="907" t="s">
        <v>2254</v>
      </c>
      <c r="I1" s="907"/>
      <c r="J1" s="907"/>
      <c r="K1" s="907"/>
      <c r="L1" s="907"/>
      <c r="M1" s="907" t="s">
        <v>2255</v>
      </c>
      <c r="N1" s="907" t="s">
        <v>2256</v>
      </c>
      <c r="O1" s="2620" t="s">
        <v>2257</v>
      </c>
      <c r="P1" s="2620"/>
      <c r="Q1" s="2620"/>
      <c r="R1" s="2620"/>
      <c r="S1" s="2620"/>
      <c r="T1" s="2620" t="s">
        <v>2255</v>
      </c>
      <c r="U1" s="2620"/>
      <c r="V1" s="2620"/>
      <c r="W1" s="2620"/>
      <c r="X1" s="2620"/>
      <c r="Y1" s="1008"/>
      <c r="Z1" s="2620" t="s">
        <v>2258</v>
      </c>
      <c r="AA1" s="2620"/>
      <c r="AB1" s="2620"/>
      <c r="AC1" s="2620"/>
      <c r="AD1" s="2620"/>
    </row>
    <row customHeight="1" ht="18">
      <c r="A2" s="855"/>
      <c r="B2" s="855"/>
      <c r="C2" s="850" t="s">
        <v>848</v>
      </c>
      <c r="D2" s="850" t="s">
        <v>897</v>
      </c>
      <c r="E2" s="850" t="s">
        <v>950</v>
      </c>
      <c r="F2" s="850" t="s">
        <v>937</v>
      </c>
      <c r="G2" s="850" t="s">
        <v>1890</v>
      </c>
      <c r="H2" s="852"/>
      <c r="I2" s="852"/>
      <c r="J2" s="852"/>
      <c r="K2" s="852"/>
      <c r="L2" s="852"/>
      <c r="M2" s="852"/>
      <c r="N2" s="852"/>
      <c r="O2" s="850" t="s">
        <v>848</v>
      </c>
      <c r="P2" s="850" t="s">
        <v>897</v>
      </c>
      <c r="Q2" s="850" t="s">
        <v>937</v>
      </c>
      <c r="R2" s="850" t="s">
        <v>950</v>
      </c>
      <c r="S2" s="850" t="s">
        <v>1890</v>
      </c>
      <c r="T2" s="850" t="s">
        <v>848</v>
      </c>
      <c r="U2" s="850" t="s">
        <v>897</v>
      </c>
      <c r="V2" s="850" t="s">
        <v>937</v>
      </c>
      <c r="W2" s="850" t="s">
        <v>950</v>
      </c>
      <c r="X2" s="850" t="s">
        <v>1890</v>
      </c>
      <c r="Y2" s="850"/>
      <c r="Z2" s="850" t="s">
        <v>848</v>
      </c>
      <c r="AA2" s="859" t="s">
        <v>897</v>
      </c>
      <c r="AB2" s="850" t="s">
        <v>937</v>
      </c>
      <c r="AC2" s="850" t="s">
        <v>950</v>
      </c>
      <c r="AD2" s="850" t="s">
        <v>1890</v>
      </c>
    </row>
    <row customHeight="1" ht="162">
      <c r="A3" s="854" t="s">
        <v>27</v>
      </c>
      <c r="B3" s="854"/>
      <c r="C3" s="2624" t="s">
        <v>2259</v>
      </c>
      <c r="D3" s="2625"/>
      <c r="E3" s="2625"/>
      <c r="F3" s="2626"/>
      <c r="G3" s="852"/>
      <c r="H3" s="852"/>
      <c r="I3" s="852"/>
      <c r="J3" s="852"/>
      <c r="K3" s="852"/>
      <c r="L3" s="852"/>
      <c r="M3" s="852"/>
      <c r="N3" s="853"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852"/>
      <c r="P3" s="852"/>
      <c r="Q3" s="852"/>
      <c r="R3" s="852"/>
      <c r="S3" s="852"/>
      <c r="T3" s="852"/>
      <c r="U3" s="852"/>
      <c r="V3" s="852"/>
      <c r="W3" s="852"/>
      <c r="X3" s="852"/>
      <c r="Y3" s="1009"/>
      <c r="Z3" s="855" t="s">
        <v>2260</v>
      </c>
      <c r="AA3" s="852" t="s">
        <v>2261</v>
      </c>
      <c r="AB3" s="855" t="s">
        <v>2262</v>
      </c>
      <c r="AC3" s="855" t="s">
        <v>2263</v>
      </c>
      <c r="AD3" s="855"/>
      <c r="AG3" s="855"/>
      <c r="AH3" s="855"/>
    </row>
    <row customHeight="1" ht="9">
      <c r="A4" s="854"/>
      <c r="B4" s="854"/>
      <c r="C4" s="852"/>
      <c r="D4" s="852"/>
      <c r="E4" s="852"/>
      <c r="F4" s="852"/>
      <c r="G4" s="852"/>
      <c r="H4" s="852"/>
      <c r="I4" s="852"/>
      <c r="J4" s="852"/>
      <c r="K4" s="852"/>
      <c r="L4" s="852"/>
      <c r="M4" s="852"/>
      <c r="N4" s="852"/>
      <c r="O4" s="852"/>
      <c r="P4" s="852"/>
      <c r="Q4" s="852"/>
      <c r="R4" s="852"/>
      <c r="S4" s="852"/>
      <c r="T4" s="852"/>
      <c r="U4" s="852"/>
      <c r="V4" s="852"/>
      <c r="W4" s="852"/>
      <c r="X4" s="852"/>
      <c r="Y4" s="1009"/>
      <c r="Z4" s="855"/>
      <c r="AA4" s="858"/>
      <c r="AB4" s="855"/>
      <c r="AC4" s="855"/>
      <c r="AD4" s="855"/>
    </row>
    <row customHeight="1" ht="9">
      <c r="A5" s="854"/>
      <c r="B5" s="854"/>
      <c r="C5" s="852"/>
      <c r="D5" s="852"/>
      <c r="E5" s="852"/>
      <c r="F5" s="852"/>
      <c r="G5" s="852"/>
      <c r="H5" s="852"/>
      <c r="I5" s="852"/>
      <c r="J5" s="852"/>
      <c r="K5" s="852"/>
      <c r="L5" s="852"/>
      <c r="M5" s="852"/>
      <c r="N5" s="852"/>
      <c r="O5" s="852"/>
      <c r="P5" s="852"/>
      <c r="Q5" s="852"/>
      <c r="R5" s="852"/>
      <c r="S5" s="852"/>
      <c r="T5" s="852"/>
      <c r="U5" s="852"/>
      <c r="V5" s="852"/>
      <c r="W5" s="852"/>
      <c r="X5" s="852"/>
      <c r="Y5" s="1009"/>
      <c r="Z5" s="855"/>
      <c r="AA5" s="858"/>
      <c r="AB5" s="855"/>
      <c r="AC5" s="855"/>
      <c r="AD5" s="855"/>
    </row>
    <row customHeight="1" ht="9">
      <c r="A6" s="854"/>
      <c r="B6" s="854"/>
      <c r="C6" s="852"/>
      <c r="D6" s="852"/>
      <c r="E6" s="852"/>
      <c r="F6" s="852"/>
      <c r="G6" s="852"/>
      <c r="H6" s="852"/>
      <c r="I6" s="852"/>
      <c r="J6" s="852"/>
      <c r="K6" s="852"/>
      <c r="L6" s="852"/>
      <c r="M6" s="852"/>
      <c r="N6" s="852"/>
      <c r="O6" s="852"/>
      <c r="P6" s="852"/>
      <c r="Q6" s="852"/>
      <c r="R6" s="852"/>
      <c r="S6" s="852"/>
      <c r="T6" s="852"/>
      <c r="U6" s="852"/>
      <c r="V6" s="852"/>
      <c r="W6" s="852"/>
      <c r="X6" s="852"/>
      <c r="Y6" s="1009"/>
      <c r="Z6" s="855"/>
      <c r="AA6" s="858"/>
      <c r="AB6" s="855"/>
      <c r="AC6" s="855"/>
      <c r="AD6" s="855"/>
    </row>
    <row customHeight="1" ht="9">
      <c r="A7" s="854"/>
      <c r="B7" s="854"/>
      <c r="C7" s="852"/>
      <c r="D7" s="852"/>
      <c r="E7" s="852"/>
      <c r="F7" s="852"/>
      <c r="G7" s="852"/>
      <c r="H7" s="852"/>
      <c r="I7" s="852"/>
      <c r="J7" s="852"/>
      <c r="K7" s="852"/>
      <c r="L7" s="852"/>
      <c r="M7" s="852"/>
      <c r="N7" s="852"/>
      <c r="O7" s="852"/>
      <c r="P7" s="852"/>
      <c r="Q7" s="852"/>
      <c r="R7" s="852"/>
      <c r="S7" s="852"/>
      <c r="T7" s="852"/>
      <c r="U7" s="852"/>
      <c r="V7" s="852"/>
      <c r="W7" s="852"/>
      <c r="X7" s="852"/>
      <c r="Y7" s="1009"/>
      <c r="Z7" s="855"/>
      <c r="AA7" s="858"/>
      <c r="AB7" s="855"/>
      <c r="AC7" s="855"/>
      <c r="AD7" s="855"/>
    </row>
    <row customHeight="1" ht="9">
      <c r="A8" s="854"/>
      <c r="B8" s="854"/>
      <c r="C8" s="852"/>
      <c r="D8" s="852"/>
      <c r="E8" s="852"/>
      <c r="F8" s="852"/>
      <c r="G8" s="852"/>
      <c r="H8" s="852"/>
      <c r="I8" s="852"/>
      <c r="J8" s="852"/>
      <c r="K8" s="852"/>
      <c r="L8" s="852"/>
      <c r="M8" s="852"/>
      <c r="N8" s="852"/>
      <c r="O8" s="852"/>
      <c r="P8" s="852"/>
      <c r="Q8" s="852"/>
      <c r="R8" s="852"/>
      <c r="S8" s="852"/>
      <c r="T8" s="852"/>
      <c r="U8" s="852"/>
      <c r="V8" s="852"/>
      <c r="W8" s="852"/>
      <c r="X8" s="852"/>
      <c r="Y8" s="1009"/>
      <c r="Z8" s="855"/>
      <c r="AA8" s="858"/>
      <c r="AB8" s="855"/>
      <c r="AC8" s="855"/>
      <c r="AD8" s="855"/>
    </row>
    <row customHeight="1" ht="9">
      <c r="A9" s="854"/>
      <c r="B9" s="854"/>
      <c r="C9" s="852"/>
      <c r="D9" s="852"/>
      <c r="E9" s="852"/>
      <c r="F9" s="852"/>
      <c r="G9" s="852"/>
      <c r="H9" s="852"/>
      <c r="I9" s="852"/>
      <c r="J9" s="852"/>
      <c r="K9" s="852"/>
      <c r="L9" s="852"/>
      <c r="M9" s="852"/>
      <c r="N9" s="852"/>
      <c r="O9" s="852"/>
      <c r="P9" s="852"/>
      <c r="Q9" s="852"/>
      <c r="R9" s="852"/>
      <c r="S9" s="852"/>
      <c r="T9" s="852"/>
      <c r="U9" s="852"/>
      <c r="V9" s="852"/>
      <c r="W9" s="852"/>
      <c r="X9" s="852"/>
      <c r="Y9" s="1009"/>
      <c r="Z9" s="855"/>
      <c r="AA9" s="858"/>
      <c r="AB9" s="855"/>
      <c r="AC9" s="855"/>
      <c r="AD9" s="855"/>
    </row>
    <row customHeight="1" ht="9">
      <c r="A10" s="908"/>
      <c r="B10" s="908"/>
      <c r="C10" s="908"/>
      <c r="D10" s="908"/>
      <c r="E10" s="908"/>
      <c r="F10" s="908"/>
      <c r="G10" s="908"/>
      <c r="H10" s="908"/>
      <c r="I10" s="908"/>
      <c r="J10" s="908"/>
      <c r="K10" s="908"/>
      <c r="L10" s="908"/>
      <c r="M10" s="908"/>
      <c r="N10" s="908"/>
      <c r="O10" s="908"/>
      <c r="P10" s="908"/>
      <c r="Q10" s="908"/>
      <c r="R10" s="908"/>
      <c r="S10" s="908"/>
      <c r="T10" s="908"/>
      <c r="U10" s="908"/>
      <c r="V10" s="908"/>
      <c r="W10" s="908"/>
      <c r="X10" s="908"/>
      <c r="Y10" s="908"/>
      <c r="Z10" s="908"/>
      <c r="AA10" s="908"/>
      <c r="AB10" s="908"/>
      <c r="AC10" s="908"/>
      <c r="AD10" s="908"/>
    </row>
    <row customHeight="1" ht="45">
      <c r="A11" s="2621" t="s">
        <v>33</v>
      </c>
      <c r="B11" s="908">
        <v>1</v>
      </c>
      <c r="C11" s="2627" t="s">
        <v>1140</v>
      </c>
      <c r="D11" s="2627" t="s">
        <v>1114</v>
      </c>
      <c r="E11" s="2627" t="s">
        <v>1190</v>
      </c>
      <c r="F11" s="2627" t="s">
        <v>1233</v>
      </c>
      <c r="G11" s="2627"/>
      <c r="H11" s="907" t="s">
        <v>2264</v>
      </c>
      <c r="I11" s="907"/>
      <c r="J11" s="907"/>
      <c r="K11" s="907"/>
      <c r="L11" s="907"/>
      <c r="M11" s="853" t="str">
        <f>IF(TEMPLATE_SPHERE="HEAT",T11,U11)</f>
        <v>Количество поданных заявок</v>
      </c>
      <c r="N11" s="853"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852"/>
      <c r="P11" s="852"/>
      <c r="Q11" s="852"/>
      <c r="R11" s="852"/>
      <c r="S11" s="852"/>
      <c r="T11" s="852" t="s">
        <v>2265</v>
      </c>
      <c r="U11" s="852" t="s">
        <v>2266</v>
      </c>
      <c r="V11" s="852"/>
      <c r="W11" s="852"/>
      <c r="X11" s="852"/>
      <c r="Y11" s="1009"/>
      <c r="Z11" s="855" t="s">
        <v>2267</v>
      </c>
      <c r="AA11" s="85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855"/>
      <c r="AC11" s="855"/>
      <c r="AD11" s="855"/>
    </row>
    <row customHeight="1" ht="45">
      <c r="A12" s="2621"/>
      <c r="B12" s="908">
        <v>2</v>
      </c>
      <c r="C12" s="2628"/>
      <c r="D12" s="2628"/>
      <c r="E12" s="2628"/>
      <c r="F12" s="2628"/>
      <c r="G12" s="2628"/>
      <c r="H12" s="907" t="s">
        <v>2268</v>
      </c>
      <c r="I12" s="907"/>
      <c r="J12" s="907"/>
      <c r="K12" s="907"/>
      <c r="L12" s="907"/>
      <c r="M12" s="853" t="str">
        <f>IF(TEMPLATE_SPHERE="HEAT",T12,U12)</f>
        <v>Количество рассмотренных заявок</v>
      </c>
      <c r="N12" s="853"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852"/>
      <c r="P12" s="852"/>
      <c r="Q12" s="852"/>
      <c r="R12" s="852"/>
      <c r="S12" s="852"/>
      <c r="T12" s="852" t="s">
        <v>2269</v>
      </c>
      <c r="U12" s="852" t="s">
        <v>2270</v>
      </c>
      <c r="V12" s="852"/>
      <c r="W12" s="852"/>
      <c r="X12" s="852"/>
      <c r="Y12" s="1009"/>
      <c r="Z12" s="855" t="s">
        <v>2271</v>
      </c>
      <c r="AA12" s="85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855"/>
      <c r="AC12" s="855"/>
      <c r="AD12" s="855"/>
    </row>
    <row customHeight="1" ht="72">
      <c r="A13" s="2621"/>
      <c r="B13" s="908">
        <v>3</v>
      </c>
      <c r="C13" s="2628"/>
      <c r="D13" s="2628"/>
      <c r="E13" s="2628"/>
      <c r="F13" s="2628"/>
      <c r="G13" s="2628"/>
      <c r="H13" s="2620" t="s">
        <v>2272</v>
      </c>
      <c r="I13" s="907"/>
      <c r="J13" s="907"/>
      <c r="K13" s="907"/>
      <c r="L13" s="907"/>
      <c r="M13" s="853"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853" t="str">
        <f>IF(TEMPLATE_SPHERE="HEAT",Z13,AA13)</f>
        <v>Указывается количество заявок с решением об отказе в течение отчетного квартала.</v>
      </c>
      <c r="O13" s="852"/>
      <c r="P13" s="853"/>
      <c r="Q13" s="853"/>
      <c r="R13" s="853"/>
      <c r="S13" s="852"/>
      <c r="T13" s="852" t="s">
        <v>2273</v>
      </c>
      <c r="U13" s="853" t="s">
        <v>2274</v>
      </c>
      <c r="V13" s="853"/>
      <c r="W13" s="853"/>
      <c r="X13" s="852"/>
      <c r="Y13" s="1009"/>
      <c r="Z13" s="855" t="s">
        <v>2275</v>
      </c>
      <c r="AA13" s="85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855"/>
      <c r="AC13" s="855"/>
      <c r="AD13" s="855"/>
    </row>
    <row customHeight="1" ht="45">
      <c r="A14" s="2621"/>
      <c r="B14" s="908">
        <v>4</v>
      </c>
      <c r="C14" s="2628"/>
      <c r="D14" s="2628"/>
      <c r="E14" s="2628"/>
      <c r="F14" s="2628"/>
      <c r="G14" s="2628"/>
      <c r="H14" s="2620"/>
      <c r="I14" s="910"/>
      <c r="J14" s="910"/>
      <c r="K14" s="910"/>
      <c r="L14" s="910"/>
      <c r="M14" s="856" t="str">
        <f>IF(TEMPLATE_SPHERE="HEAT",T14,U14)</f>
        <v>Причины отказа в заключении договора о подключении (технологическом присоединении) к системе теплоснабжения</v>
      </c>
      <c r="N14" s="85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52"/>
      <c r="P14" s="853"/>
      <c r="Q14" s="853"/>
      <c r="R14" s="853"/>
      <c r="S14" s="852"/>
      <c r="T14" s="852" t="s">
        <v>2276</v>
      </c>
      <c r="U14" s="85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853"/>
      <c r="W14" s="853"/>
      <c r="X14" s="852"/>
      <c r="Y14" s="1009"/>
      <c r="Z14" s="855" t="s">
        <v>2277</v>
      </c>
      <c r="AA14" s="858" t="s">
        <v>2277</v>
      </c>
      <c r="AB14" s="855"/>
      <c r="AC14" s="855"/>
      <c r="AD14" s="855"/>
    </row>
    <row customHeight="1" ht="108">
      <c r="A15" s="2621"/>
      <c r="B15" s="908">
        <v>5</v>
      </c>
      <c r="C15" s="2628"/>
      <c r="D15" s="2628"/>
      <c r="E15" s="2628"/>
      <c r="F15" s="2628"/>
      <c r="G15" s="2628"/>
      <c r="H15" s="2622" t="s">
        <v>2278</v>
      </c>
      <c r="I15" s="909"/>
      <c r="J15" s="909"/>
      <c r="K15" s="909"/>
      <c r="L15" s="909"/>
      <c r="M15" s="858" t="str">
        <f>IF(TEMPLATE_SPHERE="HEAT",T15,U15)</f>
        <v>Резерв мощности источников тепловой энергии, входящих в систему теплоснабжения, в течение одного квартала, в том числе:</v>
      </c>
      <c r="N15" s="857"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852"/>
      <c r="P15" s="853"/>
      <c r="Q15" s="853"/>
      <c r="R15" s="853"/>
      <c r="S15" s="852"/>
      <c r="T15" s="852" t="s">
        <v>2279</v>
      </c>
      <c r="U15" s="85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853"/>
      <c r="W15" s="853"/>
      <c r="X15" s="852"/>
      <c r="Y15" s="1009"/>
      <c r="Z15" s="855" t="s">
        <v>2280</v>
      </c>
      <c r="AA15" s="85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855"/>
      <c r="AC15" s="855"/>
      <c r="AD15" s="855"/>
    </row>
    <row customHeight="1" ht="108">
      <c r="A16" s="908"/>
      <c r="B16" s="908">
        <v>6</v>
      </c>
      <c r="C16" s="2629"/>
      <c r="D16" s="2629"/>
      <c r="E16" s="2629"/>
      <c r="F16" s="2629"/>
      <c r="G16" s="2629"/>
      <c r="H16" s="2623"/>
      <c r="I16" s="971"/>
      <c r="J16" s="971"/>
      <c r="K16" s="971"/>
      <c r="L16" s="971"/>
      <c r="M16" s="901"/>
      <c r="N16" s="857"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852"/>
      <c r="P16" s="853"/>
      <c r="Q16" s="853"/>
      <c r="R16" s="853"/>
      <c r="S16" s="852"/>
      <c r="T16" s="852"/>
      <c r="U16" s="853"/>
      <c r="V16" s="853"/>
      <c r="W16" s="853"/>
      <c r="X16" s="852"/>
      <c r="Y16" s="1009"/>
      <c r="Z16" s="855" t="s">
        <v>2280</v>
      </c>
      <c r="AA16" s="85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855"/>
      <c r="AC16" s="855"/>
      <c r="AD16" s="855"/>
    </row>
    <row customHeight="1" ht="9">
      <c r="A17" s="908"/>
      <c r="B17" s="908"/>
      <c r="C17" s="908">
        <v>22</v>
      </c>
      <c r="D17" s="908">
        <v>21</v>
      </c>
      <c r="E17" s="908">
        <v>42</v>
      </c>
      <c r="F17" s="908">
        <v>63</v>
      </c>
      <c r="G17" s="908"/>
      <c r="H17" s="908"/>
      <c r="I17" s="908"/>
      <c r="J17" s="908"/>
      <c r="K17" s="908"/>
      <c r="L17" s="908"/>
      <c r="M17" s="908"/>
      <c r="N17" s="908"/>
      <c r="O17" s="908"/>
      <c r="P17" s="908"/>
      <c r="Q17" s="908"/>
      <c r="R17" s="908"/>
      <c r="S17" s="908"/>
      <c r="T17" s="908"/>
      <c r="U17" s="908"/>
      <c r="V17" s="908"/>
      <c r="W17" s="908"/>
      <c r="X17" s="908"/>
      <c r="Y17" s="908"/>
      <c r="Z17" s="908"/>
      <c r="AA17" s="908"/>
      <c r="AB17" s="908"/>
      <c r="AC17" s="908"/>
      <c r="AD17" s="908"/>
    </row>
    <row customHeight="1" ht="27">
      <c r="A18" s="854" t="s">
        <v>1919</v>
      </c>
      <c r="B18" s="908">
        <v>1</v>
      </c>
      <c r="C18" s="852" t="s">
        <v>2264</v>
      </c>
      <c r="D18" s="976" t="s">
        <v>2264</v>
      </c>
      <c r="E18" s="852" t="s">
        <v>2264</v>
      </c>
      <c r="F18" s="852" t="s">
        <v>2264</v>
      </c>
      <c r="G18" s="852"/>
      <c r="H18" s="1011"/>
      <c r="I18" s="1014">
        <f>INDEX(TEMPLATE_NUMBER_POINT_FHD,B18,MATCH(TEMPLATE_SPHERE,TEMPLATE_SPHERE_LIST_FOR_NOTE,0))</f>
        <v>1</v>
      </c>
      <c r="J18" s="1014" t="str">
        <f>INDEX(TEMPLATE_DATA_POINT_FHD,B18,MATCH(TEMPLATE_SPHERE,TEMPLATE_SPHERE_LIST_FOR_NOTE,0))</f>
        <v>Выручка от регулируемого вида деятельности с распределением по видам деятельности</v>
      </c>
      <c r="K18" s="1014" t="str">
        <f>INDEX(TEMPLATE_NOTE_POINT_FHD,B18,MATCH(TEMPLATE_SPHERE,TEMPLATE_SPHERE_LIST_FOR_NOTE,0))</f>
        <v>Указывается выручка от регулируемого вида деятельности с распределением по видам деятельности.</v>
      </c>
      <c r="L18" s="853">
        <f>IF(I18=0,"",I18)</f>
        <v>1</v>
      </c>
      <c r="M18" s="853" t="str">
        <f>IF(J18=0,"",J18)</f>
        <v>Выручка от регулируемого вида деятельности с распределением по видам деятельности</v>
      </c>
      <c r="N18" s="853" t="str">
        <f>IF(K18=0,"",K18)</f>
        <v>Указывается выручка от регулируемого вида деятельности с распределением по видам деятельности.</v>
      </c>
      <c r="O18" s="966">
        <v>1</v>
      </c>
      <c r="P18" s="966">
        <v>1</v>
      </c>
      <c r="Q18" s="966">
        <v>1</v>
      </c>
      <c r="R18" s="966">
        <v>1</v>
      </c>
      <c r="S18" s="966"/>
      <c r="T18" s="973" t="s">
        <v>2281</v>
      </c>
      <c r="U18" s="855" t="s">
        <v>2282</v>
      </c>
      <c r="V18" s="855" t="s">
        <v>2283</v>
      </c>
      <c r="W18" s="855" t="s">
        <v>2284</v>
      </c>
      <c r="X18" s="852"/>
      <c r="Y18" s="1009"/>
      <c r="Z18" s="855" t="s">
        <v>2285</v>
      </c>
      <c r="AA18" s="858" t="s">
        <v>2286</v>
      </c>
      <c r="AB18" s="858" t="s">
        <v>2286</v>
      </c>
      <c r="AC18" s="858" t="s">
        <v>2286</v>
      </c>
      <c r="AD18" s="855"/>
    </row>
    <row customHeight="1" ht="36">
      <c r="A19" s="854"/>
      <c r="B19" s="908">
        <v>2</v>
      </c>
      <c r="C19" s="852" t="s">
        <v>2268</v>
      </c>
      <c r="D19" s="976" t="s">
        <v>2268</v>
      </c>
      <c r="E19" s="852" t="s">
        <v>2268</v>
      </c>
      <c r="F19" s="852" t="s">
        <v>2268</v>
      </c>
      <c r="G19" s="852"/>
      <c r="H19" s="1011"/>
      <c r="I19" s="1014">
        <f>INDEX(TEMPLATE_NUMBER_POINT_FHD,B19,MATCH(TEMPLATE_SPHERE,TEMPLATE_SPHERE_LIST_FOR_NOTE,0))</f>
        <v>2</v>
      </c>
      <c r="J19" s="1014"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014" t="str">
        <f>INDEX(TEMPLATE_NOTE_POINT_FHD,B19,MATCH(TEMPLATE_SPHERE,TEMPLATE_SPHERE_LIST_FOR_NOTE,0))</f>
        <v>Указывается суммарная себестоимость производимых товаров.</v>
      </c>
      <c r="L19" s="853">
        <f>IF(I19=0,"",I19)</f>
        <v>2</v>
      </c>
      <c r="M19" s="853" t="str">
        <f>IF(J19=0,"",J19)</f>
        <v>Себестоимость производимых товаров (оказываемых услуг) по регулируемому виду деятельности, включая:</v>
      </c>
      <c r="N19" s="853" t="str">
        <f>IF(K19=0,"",K19)</f>
        <v>Указывается суммарная себестоимость производимых товаров.</v>
      </c>
      <c r="O19" s="966">
        <v>2</v>
      </c>
      <c r="P19" s="966">
        <v>2</v>
      </c>
      <c r="Q19" s="966">
        <v>2</v>
      </c>
      <c r="R19" s="966">
        <v>2</v>
      </c>
      <c r="S19" s="966"/>
      <c r="T19" s="973" t="s">
        <v>2287</v>
      </c>
      <c r="U19" s="855" t="s">
        <v>2288</v>
      </c>
      <c r="V19" s="855" t="s">
        <v>2289</v>
      </c>
      <c r="W19" s="855" t="s">
        <v>2290</v>
      </c>
      <c r="X19" s="852"/>
      <c r="Y19" s="1009"/>
      <c r="Z19" s="855" t="s">
        <v>2291</v>
      </c>
      <c r="AA19" s="858" t="s">
        <v>2291</v>
      </c>
      <c r="AB19" s="858" t="s">
        <v>2291</v>
      </c>
      <c r="AC19" s="858" t="s">
        <v>2291</v>
      </c>
      <c r="AD19" s="855"/>
    </row>
    <row customHeight="1" ht="27">
      <c r="A20" s="854"/>
      <c r="B20" s="908">
        <v>3</v>
      </c>
      <c r="C20" s="852">
        <v>1</v>
      </c>
      <c r="D20" s="976"/>
      <c r="E20" s="852"/>
      <c r="F20" s="852"/>
      <c r="G20" s="852"/>
      <c r="H20" s="1011"/>
      <c r="I20" s="1014" t="str">
        <f>INDEX(TEMPLATE_NUMBER_POINT_FHD,B20,MATCH(TEMPLATE_SPHERE,TEMPLATE_SPHERE_LIST_FOR_NOTE,0))</f>
        <v>2.1</v>
      </c>
      <c r="J20" s="1014" t="str">
        <f>INDEX(TEMPLATE_DATA_POINT_FHD,B20,MATCH(TEMPLATE_SPHERE,TEMPLATE_SPHERE_LIST_FOR_NOTE,0))</f>
        <v>Расходы на приобретаемую тепловую энергию (мощность), теплоноситель</v>
      </c>
      <c r="K20" s="1014">
        <f>INDEX(TEMPLATE_NOTE_POINT_FHD,B20,MATCH(TEMPLATE_SPHERE,TEMPLATE_SPHERE_LIST_FOR_NOTE,0))</f>
        <v>0</v>
      </c>
      <c r="L20" s="853" t="str">
        <f>IF(I20=0,"",I20)</f>
        <v>2.1</v>
      </c>
      <c r="M20" s="853" t="str">
        <f>IF(J20=0,"",J20)</f>
        <v>Расходы на приобретаемую тепловую энергию (мощность), теплоноситель</v>
      </c>
      <c r="N20" s="853" t="str">
        <f>IF(K20=0,"",K20)</f>
        <v/>
      </c>
      <c r="O20" s="966" t="s">
        <v>731</v>
      </c>
      <c r="P20" s="966" t="s">
        <v>731</v>
      </c>
      <c r="Q20" s="966" t="s">
        <v>731</v>
      </c>
      <c r="R20" s="966" t="s">
        <v>731</v>
      </c>
      <c r="S20" s="966"/>
      <c r="T20" s="973" t="s">
        <v>2292</v>
      </c>
      <c r="U20" s="855" t="s">
        <v>2293</v>
      </c>
      <c r="V20" s="855" t="s">
        <v>2294</v>
      </c>
      <c r="W20" s="855" t="s">
        <v>2295</v>
      </c>
      <c r="X20" s="852"/>
      <c r="Y20" s="1009"/>
      <c r="Z20" s="855"/>
      <c r="AA20" s="858"/>
      <c r="AB20" s="855"/>
      <c r="AC20" s="855"/>
      <c r="AD20" s="855"/>
    </row>
    <row customHeight="1" ht="36">
      <c r="A21" s="854"/>
      <c r="B21" s="908">
        <v>4</v>
      </c>
      <c r="C21" s="852">
        <v>2</v>
      </c>
      <c r="D21" s="976"/>
      <c r="E21" s="852"/>
      <c r="F21" s="852"/>
      <c r="G21" s="852"/>
      <c r="H21" s="1011"/>
      <c r="I21" s="1014" t="str">
        <f>INDEX(TEMPLATE_NUMBER_POINT_FHD,B21,MATCH(TEMPLATE_SPHERE,TEMPLATE_SPHERE_LIST_FOR_NOTE,0))</f>
        <v>2.2</v>
      </c>
      <c r="J21" s="1014"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014" t="str">
        <f>INDEX(TEMPLATE_NOTE_POINT_FHD,B21,MATCH(TEMPLATE_SPHERE,TEMPLATE_SPHERE_LIST_FOR_NOTE,0))</f>
        <v>Указываются суммарные расходы на приобретение топлива всех видов.</v>
      </c>
      <c r="L21" s="853" t="str">
        <f>IF(I21=0,"",I21)</f>
        <v>2.2</v>
      </c>
      <c r="M21" s="853"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853" t="str">
        <f>IF(K21=0,"",K21)</f>
        <v>Указываются суммарные расходы на приобретение топлива всех видов.</v>
      </c>
      <c r="O21" s="966" t="s">
        <v>322</v>
      </c>
      <c r="P21" s="966"/>
      <c r="Q21" s="966"/>
      <c r="R21" s="966"/>
      <c r="S21" s="966"/>
      <c r="T21" s="973" t="s">
        <v>2296</v>
      </c>
      <c r="U21" s="855"/>
      <c r="V21" s="855"/>
      <c r="W21" s="855"/>
      <c r="X21" s="852"/>
      <c r="Y21" s="1009"/>
      <c r="Z21" s="855" t="s">
        <v>2297</v>
      </c>
      <c r="AA21" s="858"/>
      <c r="AB21" s="855"/>
      <c r="AC21" s="855"/>
      <c r="AD21" s="855"/>
    </row>
    <row customHeight="1" ht="36">
      <c r="A22" s="854"/>
      <c r="B22" s="908">
        <v>5</v>
      </c>
      <c r="C22" s="852">
        <v>3</v>
      </c>
      <c r="D22" s="976"/>
      <c r="E22" s="852"/>
      <c r="F22" s="852"/>
      <c r="G22" s="900"/>
      <c r="H22" s="967"/>
      <c r="I22" s="1014">
        <f>INDEX(TEMPLATE_NUMBER_POINT_FHD,B22,MATCH(TEMPLATE_SPHERE,TEMPLATE_SPHERE_LIST_FOR_NOTE,0))</f>
        <v>0</v>
      </c>
      <c r="J22" s="1014">
        <f>INDEX(TEMPLATE_DATA_POINT_FHD,B22,MATCH(TEMPLATE_SPHERE,TEMPLATE_SPHERE_LIST_FOR_NOTE,0))</f>
        <v>0</v>
      </c>
      <c r="K22" s="1014">
        <f>INDEX(TEMPLATE_NOTE_POINT_FHD,B22,MATCH(TEMPLATE_SPHERE,TEMPLATE_SPHERE_LIST_FOR_NOTE,0))</f>
        <v>0</v>
      </c>
      <c r="L22" s="853" t="str">
        <f>IF(I22=0,"",I22)</f>
        <v/>
      </c>
      <c r="M22" s="853" t="str">
        <f>IF(J22=0,"",J22)</f>
        <v/>
      </c>
      <c r="N22" s="853" t="str">
        <f>IF(K22=0,"",K22)</f>
        <v/>
      </c>
      <c r="O22" s="966"/>
      <c r="P22" s="966"/>
      <c r="Q22" s="966" t="s">
        <v>322</v>
      </c>
      <c r="R22" s="966"/>
      <c r="S22" s="966"/>
      <c r="T22" s="973"/>
      <c r="U22" s="855"/>
      <c r="V22" s="855" t="s">
        <v>2298</v>
      </c>
      <c r="W22" s="855"/>
      <c r="X22" s="852"/>
      <c r="Y22" s="1009"/>
      <c r="Z22" s="855"/>
      <c r="AA22" s="858"/>
      <c r="AB22" s="855"/>
      <c r="AC22" s="855"/>
      <c r="AD22" s="855"/>
    </row>
    <row customHeight="1" ht="27">
      <c r="A23" s="854"/>
      <c r="B23" s="908">
        <v>6</v>
      </c>
      <c r="C23" s="852">
        <v>4</v>
      </c>
      <c r="D23" s="976"/>
      <c r="E23" s="852"/>
      <c r="F23" s="852"/>
      <c r="G23" s="900"/>
      <c r="H23" s="967"/>
      <c r="I23" s="1014">
        <f>INDEX(TEMPLATE_NUMBER_POINT_FHD,B23,MATCH(TEMPLATE_SPHERE,TEMPLATE_SPHERE_LIST_FOR_NOTE,0))</f>
        <v>0</v>
      </c>
      <c r="J23" s="1014">
        <f>INDEX(TEMPLATE_DATA_POINT_FHD,B23,MATCH(TEMPLATE_SPHERE,TEMPLATE_SPHERE_LIST_FOR_NOTE,0))</f>
        <v>0</v>
      </c>
      <c r="K23" s="1014">
        <f>INDEX(TEMPLATE_NOTE_POINT_FHD,B23,MATCH(TEMPLATE_SPHERE,TEMPLATE_SPHERE_LIST_FOR_NOTE,0))</f>
        <v>0</v>
      </c>
      <c r="L23" s="853" t="str">
        <f>IF(I23=0,"",I23)</f>
        <v/>
      </c>
      <c r="M23" s="853" t="str">
        <f>IF(J23=0,"",J23)</f>
        <v/>
      </c>
      <c r="N23" s="853" t="str">
        <f>IF(K23=0,"",K23)</f>
        <v/>
      </c>
      <c r="O23" s="966"/>
      <c r="P23" s="966"/>
      <c r="Q23" s="966" t="s">
        <v>325</v>
      </c>
      <c r="R23" s="966"/>
      <c r="S23" s="966"/>
      <c r="T23" s="973"/>
      <c r="U23" s="855"/>
      <c r="V23" s="855" t="s">
        <v>2299</v>
      </c>
      <c r="W23" s="855"/>
      <c r="X23" s="852"/>
      <c r="Y23" s="1009"/>
      <c r="Z23" s="855"/>
      <c r="AA23" s="858"/>
      <c r="AB23" s="855"/>
      <c r="AC23" s="855"/>
      <c r="AD23" s="855"/>
    </row>
    <row customHeight="1" ht="36">
      <c r="A24" s="854"/>
      <c r="B24" s="908">
        <v>7</v>
      </c>
      <c r="C24" s="852">
        <v>5</v>
      </c>
      <c r="D24" s="976"/>
      <c r="E24" s="852"/>
      <c r="F24" s="852"/>
      <c r="G24" s="900"/>
      <c r="H24" s="967"/>
      <c r="I24" s="1014">
        <f>INDEX(TEMPLATE_NUMBER_POINT_FHD,B24,MATCH(TEMPLATE_SPHERE,TEMPLATE_SPHERE_LIST_FOR_NOTE,0))</f>
        <v>0</v>
      </c>
      <c r="J24" s="1014">
        <f>INDEX(TEMPLATE_DATA_POINT_FHD,B24,MATCH(TEMPLATE_SPHERE,TEMPLATE_SPHERE_LIST_FOR_NOTE,0))</f>
        <v>0</v>
      </c>
      <c r="K24" s="1014">
        <f>INDEX(TEMPLATE_NOTE_POINT_FHD,B24,MATCH(TEMPLATE_SPHERE,TEMPLATE_SPHERE_LIST_FOR_NOTE,0))</f>
        <v>0</v>
      </c>
      <c r="L24" s="853" t="str">
        <f>IF(I24=0,"",I24)</f>
        <v/>
      </c>
      <c r="M24" s="853" t="str">
        <f>IF(J24=0,"",J24)</f>
        <v/>
      </c>
      <c r="N24" s="853" t="str">
        <f>IF(K24=0,"",K24)</f>
        <v/>
      </c>
      <c r="O24" s="966"/>
      <c r="P24" s="966"/>
      <c r="Q24" s="966" t="s">
        <v>751</v>
      </c>
      <c r="R24" s="966"/>
      <c r="S24" s="966"/>
      <c r="T24" s="973"/>
      <c r="U24" s="855"/>
      <c r="V24" s="855" t="s">
        <v>2300</v>
      </c>
      <c r="W24" s="855"/>
      <c r="X24" s="852"/>
      <c r="Y24" s="1009"/>
      <c r="Z24" s="855"/>
      <c r="AA24" s="858"/>
      <c r="AB24" s="855"/>
      <c r="AC24" s="855"/>
      <c r="AD24" s="855"/>
    </row>
    <row customHeight="1" ht="36">
      <c r="A25" s="854"/>
      <c r="B25" s="908">
        <v>8</v>
      </c>
      <c r="C25" s="852">
        <v>6</v>
      </c>
      <c r="D25" s="976"/>
      <c r="E25" s="852"/>
      <c r="F25" s="852"/>
      <c r="G25" s="900"/>
      <c r="H25" s="967"/>
      <c r="I25" s="1014" t="str">
        <f>INDEX(TEMPLATE_NUMBER_POINT_FHD,B25,MATCH(TEMPLATE_SPHERE,TEMPLATE_SPHERE_LIST_FOR_NOTE,0))</f>
        <v>2.3</v>
      </c>
      <c r="J25" s="101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14">
        <f>INDEX(TEMPLATE_NOTE_POINT_FHD,B25,MATCH(TEMPLATE_SPHERE,TEMPLATE_SPHERE_LIST_FOR_NOTE,0))</f>
        <v>0</v>
      </c>
      <c r="L25" s="853" t="str">
        <f>IF(I25=0,"",I25)</f>
        <v>2.3</v>
      </c>
      <c r="M25" s="853" t="str">
        <f>IF(J25=0,"",J25)</f>
        <v>Расходы на приобретаемую электрическую энергию (мощность), используемую в технологическом процессе</v>
      </c>
      <c r="N25" s="853" t="str">
        <f>IF(K25=0,"",K25)</f>
        <v/>
      </c>
      <c r="O25" s="966" t="s">
        <v>325</v>
      </c>
      <c r="P25" s="966" t="s">
        <v>322</v>
      </c>
      <c r="Q25" s="966" t="s">
        <v>758</v>
      </c>
      <c r="R25" s="966" t="s">
        <v>322</v>
      </c>
      <c r="S25" s="966"/>
      <c r="T25" s="973" t="s">
        <v>2301</v>
      </c>
      <c r="U25" s="855" t="s">
        <v>2301</v>
      </c>
      <c r="V25" s="855" t="s">
        <v>2301</v>
      </c>
      <c r="W25" s="855" t="s">
        <v>2301</v>
      </c>
      <c r="X25" s="852"/>
      <c r="Y25" s="1009"/>
      <c r="Z25" s="855"/>
      <c r="AA25" s="858"/>
      <c r="AB25" s="855"/>
      <c r="AC25" s="855"/>
      <c r="AD25" s="855"/>
    </row>
    <row customHeight="1" ht="18">
      <c r="A26" s="854"/>
      <c r="B26" s="908">
        <v>9</v>
      </c>
      <c r="C26" s="852" t="s">
        <v>675</v>
      </c>
      <c r="D26" s="976"/>
      <c r="E26" s="852"/>
      <c r="F26" s="852"/>
      <c r="G26" s="900"/>
      <c r="H26" s="967"/>
      <c r="I26" s="1014" t="str">
        <f>INDEX(TEMPLATE_NUMBER_POINT_FHD,B26,MATCH(TEMPLATE_SPHERE,TEMPLATE_SPHERE_LIST_FOR_NOTE,0))</f>
        <v>2.3.1</v>
      </c>
      <c r="J26" s="1014" t="str">
        <f>INDEX(TEMPLATE_DATA_POINT_FHD,B26,MATCH(TEMPLATE_SPHERE,TEMPLATE_SPHERE_LIST_FOR_NOTE,0))</f>
        <v>Средневзвешенная стоимость 1 кВт.ч (с учетом мощности)</v>
      </c>
      <c r="K26" s="1014">
        <f>INDEX(TEMPLATE_NOTE_POINT_FHD,B26,MATCH(TEMPLATE_SPHERE,TEMPLATE_SPHERE_LIST_FOR_NOTE,0))</f>
        <v>0</v>
      </c>
      <c r="L26" s="853" t="str">
        <f>IF(I26=0,"",I26)</f>
        <v>2.3.1</v>
      </c>
      <c r="M26" s="853" t="str">
        <f>IF(J26=0,"",J26)</f>
        <v>Средневзвешенная стоимость 1 кВт.ч (с учетом мощности)</v>
      </c>
      <c r="N26" s="853" t="str">
        <f>IF(K26=0,"",K26)</f>
        <v/>
      </c>
      <c r="O26" s="966" t="s">
        <v>747</v>
      </c>
      <c r="P26" s="966" t="s">
        <v>741</v>
      </c>
      <c r="Q26" s="966" t="s">
        <v>2302</v>
      </c>
      <c r="R26" s="966" t="s">
        <v>741</v>
      </c>
      <c r="S26" s="966"/>
      <c r="T26" s="973" t="str">
        <f>"Средневзвешенная стоимость 1 кВт.ч"&amp;IF(TITLE_TYPE_ORG="Регулируемая организация"," (с учетом мощности)","")</f>
        <v>Средневзвешенная стоимость 1 кВт.ч (с учетом мощности)</v>
      </c>
      <c r="U26" s="973" t="s">
        <v>2303</v>
      </c>
      <c r="V26" s="973" t="s">
        <v>2303</v>
      </c>
      <c r="W26" s="973" t="s">
        <v>2303</v>
      </c>
      <c r="X26" s="852"/>
      <c r="Y26" s="1009"/>
      <c r="Z26" s="855"/>
      <c r="AA26" s="858"/>
      <c r="AB26" s="855"/>
      <c r="AC26" s="855"/>
      <c r="AD26" s="855"/>
    </row>
    <row customHeight="1" ht="18">
      <c r="A27" s="854"/>
      <c r="B27" s="908">
        <v>10</v>
      </c>
      <c r="C27" s="852" t="s">
        <v>679</v>
      </c>
      <c r="D27" s="976"/>
      <c r="E27" s="852"/>
      <c r="F27" s="852"/>
      <c r="G27" s="900"/>
      <c r="H27" s="967"/>
      <c r="I27" s="1014" t="str">
        <f>INDEX(TEMPLATE_NUMBER_POINT_FHD,B27,MATCH(TEMPLATE_SPHERE,TEMPLATE_SPHERE_LIST_FOR_NOTE,0))</f>
        <v>2.3.2</v>
      </c>
      <c r="J27" s="1014" t="str">
        <f>INDEX(TEMPLATE_DATA_POINT_FHD,B27,MATCH(TEMPLATE_SPHERE,TEMPLATE_SPHERE_LIST_FOR_NOTE,0))</f>
        <v>Объём приобретения электрической энергии</v>
      </c>
      <c r="K27" s="1014">
        <f>INDEX(TEMPLATE_NOTE_POINT_FHD,B27,MATCH(TEMPLATE_SPHERE,TEMPLATE_SPHERE_LIST_FOR_NOTE,0))</f>
        <v>0</v>
      </c>
      <c r="L27" s="853" t="str">
        <f>IF(I27=0,"",I27)</f>
        <v>2.3.2</v>
      </c>
      <c r="M27" s="853" t="str">
        <f>IF(J27=0,"",J27)</f>
        <v>Объём приобретения электрической энергии</v>
      </c>
      <c r="N27" s="853" t="str">
        <f>IF(K27=0,"",K27)</f>
        <v/>
      </c>
      <c r="O27" s="966" t="s">
        <v>749</v>
      </c>
      <c r="P27" s="966" t="s">
        <v>743</v>
      </c>
      <c r="Q27" s="966" t="s">
        <v>2304</v>
      </c>
      <c r="R27" s="966" t="s">
        <v>743</v>
      </c>
      <c r="S27" s="966"/>
      <c r="T27" s="973" t="s">
        <v>2305</v>
      </c>
      <c r="U27" s="973" t="s">
        <v>2305</v>
      </c>
      <c r="V27" s="973" t="s">
        <v>2305</v>
      </c>
      <c r="W27" s="973" t="s">
        <v>2305</v>
      </c>
      <c r="X27" s="852"/>
      <c r="Y27" s="1009"/>
      <c r="Z27" s="855"/>
      <c r="AA27" s="858"/>
      <c r="AB27" s="855"/>
      <c r="AC27" s="855"/>
      <c r="AD27" s="855"/>
    </row>
    <row customHeight="1" ht="27">
      <c r="A28" s="854"/>
      <c r="B28" s="908">
        <v>11</v>
      </c>
      <c r="C28" s="852">
        <v>7</v>
      </c>
      <c r="D28" s="976"/>
      <c r="E28" s="852"/>
      <c r="F28" s="852"/>
      <c r="G28" s="900"/>
      <c r="H28" s="967"/>
      <c r="I28" s="1014" t="str">
        <f>INDEX(TEMPLATE_NUMBER_POINT_FHD,B28,MATCH(TEMPLATE_SPHERE,TEMPLATE_SPHERE_LIST_FOR_NOTE,0))</f>
        <v>2.4</v>
      </c>
      <c r="J28" s="1014" t="str">
        <f>INDEX(TEMPLATE_DATA_POINT_FHD,B28,MATCH(TEMPLATE_SPHERE,TEMPLATE_SPHERE_LIST_FOR_NOTE,0))</f>
        <v>Расходы на приобретение холодной воды, используемой в технологическом процессе</v>
      </c>
      <c r="K28" s="1014">
        <f>INDEX(TEMPLATE_NOTE_POINT_FHD,B28,MATCH(TEMPLATE_SPHERE,TEMPLATE_SPHERE_LIST_FOR_NOTE,0))</f>
        <v>0</v>
      </c>
      <c r="L28" s="853" t="str">
        <f>IF(I28=0,"",I28)</f>
        <v>2.4</v>
      </c>
      <c r="M28" s="853" t="str">
        <f>IF(J28=0,"",J28)</f>
        <v>Расходы на приобретение холодной воды, используемой в технологическом процессе</v>
      </c>
      <c r="N28" s="853" t="str">
        <f>IF(K28=0,"",K28)</f>
        <v/>
      </c>
      <c r="O28" s="966" t="s">
        <v>751</v>
      </c>
      <c r="P28" s="966"/>
      <c r="Q28" s="966"/>
      <c r="R28" s="966"/>
      <c r="S28" s="966"/>
      <c r="T28" s="973" t="s">
        <v>2306</v>
      </c>
      <c r="U28" s="855"/>
      <c r="V28" s="855"/>
      <c r="W28" s="855"/>
      <c r="X28" s="852"/>
      <c r="Y28" s="1009"/>
      <c r="Z28" s="855"/>
      <c r="AA28" s="858"/>
      <c r="AB28" s="855"/>
      <c r="AC28" s="855"/>
      <c r="AD28" s="855"/>
    </row>
    <row customHeight="1" ht="27">
      <c r="A29" s="854"/>
      <c r="B29" s="908">
        <v>12</v>
      </c>
      <c r="C29" s="852">
        <v>8</v>
      </c>
      <c r="D29" s="976"/>
      <c r="E29" s="852"/>
      <c r="F29" s="852"/>
      <c r="G29" s="900"/>
      <c r="H29" s="967"/>
      <c r="I29" s="1014" t="str">
        <f>INDEX(TEMPLATE_NUMBER_POINT_FHD,B29,MATCH(TEMPLATE_SPHERE,TEMPLATE_SPHERE_LIST_FOR_NOTE,0))</f>
        <v>2.5</v>
      </c>
      <c r="J29" s="1014" t="str">
        <f>INDEX(TEMPLATE_DATA_POINT_FHD,B29,MATCH(TEMPLATE_SPHERE,TEMPLATE_SPHERE_LIST_FOR_NOTE,0))</f>
        <v>Расходы на  химические реагенты, используемые в технологическом процессе</v>
      </c>
      <c r="K29" s="1014">
        <f>INDEX(TEMPLATE_NOTE_POINT_FHD,B29,MATCH(TEMPLATE_SPHERE,TEMPLATE_SPHERE_LIST_FOR_NOTE,0))</f>
        <v>0</v>
      </c>
      <c r="L29" s="853" t="str">
        <f>IF(I29=0,"",I29)</f>
        <v>2.5</v>
      </c>
      <c r="M29" s="853" t="str">
        <f>IF(J29=0,"",J29)</f>
        <v>Расходы на  химические реагенты, используемые в технологическом процессе</v>
      </c>
      <c r="N29" s="853" t="str">
        <f>IF(K29=0,"",K29)</f>
        <v/>
      </c>
      <c r="O29" s="966" t="s">
        <v>758</v>
      </c>
      <c r="P29" s="966" t="s">
        <v>325</v>
      </c>
      <c r="Q29" s="966"/>
      <c r="R29" s="966" t="s">
        <v>325</v>
      </c>
      <c r="S29" s="966"/>
      <c r="T29" s="97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855" t="s">
        <v>2307</v>
      </c>
      <c r="V29" s="855"/>
      <c r="W29" s="855" t="s">
        <v>2307</v>
      </c>
      <c r="X29" s="852"/>
      <c r="Y29" s="1009"/>
      <c r="Z29" s="855"/>
      <c r="AA29" s="858"/>
      <c r="AB29" s="855"/>
      <c r="AC29" s="855"/>
      <c r="AD29" s="855"/>
    </row>
    <row customHeight="1" ht="54">
      <c r="A30" s="854"/>
      <c r="B30" s="908">
        <v>13</v>
      </c>
      <c r="C30" s="852">
        <v>9</v>
      </c>
      <c r="D30" s="976"/>
      <c r="E30" s="852"/>
      <c r="F30" s="852"/>
      <c r="G30" s="900"/>
      <c r="H30" s="967"/>
      <c r="I30" s="1014" t="str">
        <f>INDEX(TEMPLATE_NUMBER_POINT_FHD,B30,MATCH(TEMPLATE_SPHERE,TEMPLATE_SPHERE_LIST_FOR_NOTE,0))</f>
        <v>2.6</v>
      </c>
      <c r="J30" s="101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14">
        <f>INDEX(TEMPLATE_NOTE_POINT_FHD,B30,MATCH(TEMPLATE_SPHERE,TEMPLATE_SPHERE_LIST_FOR_NOTE,0))</f>
        <v>0</v>
      </c>
      <c r="L30" s="853" t="str">
        <f>IF(I30=0,"",I30)</f>
        <v>2.6</v>
      </c>
      <c r="M30" s="85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53" t="str">
        <f>IF(K30=0,"",K30)</f>
        <v/>
      </c>
      <c r="O30" s="966" t="s">
        <v>760</v>
      </c>
      <c r="P30" s="966" t="s">
        <v>751</v>
      </c>
      <c r="Q30" s="966" t="s">
        <v>760</v>
      </c>
      <c r="R30" s="966" t="s">
        <v>751</v>
      </c>
      <c r="S30" s="966"/>
      <c r="T30" s="973" t="s">
        <v>2308</v>
      </c>
      <c r="U30" s="855" t="s">
        <v>2308</v>
      </c>
      <c r="V30" s="855" t="s">
        <v>2308</v>
      </c>
      <c r="W30" s="855" t="s">
        <v>2308</v>
      </c>
      <c r="X30" s="852"/>
      <c r="Y30" s="1009"/>
      <c r="Z30" s="855"/>
      <c r="AA30" s="858" t="s">
        <v>2309</v>
      </c>
      <c r="AB30" s="858" t="s">
        <v>2309</v>
      </c>
      <c r="AC30" s="858" t="s">
        <v>2309</v>
      </c>
      <c r="AD30" s="855"/>
    </row>
    <row customHeight="1" ht="18">
      <c r="A31" s="854"/>
      <c r="B31" s="908">
        <v>14</v>
      </c>
      <c r="C31" s="852" t="s">
        <v>2310</v>
      </c>
      <c r="D31" s="976"/>
      <c r="E31" s="852"/>
      <c r="F31" s="852"/>
      <c r="G31" s="900"/>
      <c r="H31" s="967"/>
      <c r="I31" s="1014" t="str">
        <f>INDEX(TEMPLATE_NUMBER_POINT_FHD,B31,MATCH(TEMPLATE_SPHERE,TEMPLATE_SPHERE_LIST_FOR_NOTE,0))</f>
        <v>2.6.1</v>
      </c>
      <c r="J31" s="1014" t="str">
        <f>INDEX(TEMPLATE_DATA_POINT_FHD,B31,MATCH(TEMPLATE_SPHERE,TEMPLATE_SPHERE_LIST_FOR_NOTE,0))</f>
        <v>Расходы на оплату труда основного производственного персонала</v>
      </c>
      <c r="K31" s="1014">
        <f>INDEX(TEMPLATE_NOTE_POINT_FHD,B31,MATCH(TEMPLATE_SPHERE,TEMPLATE_SPHERE_LIST_FOR_NOTE,0))</f>
        <v>0</v>
      </c>
      <c r="L31" s="853" t="str">
        <f>IF(I31=0,"",I31)</f>
        <v>2.6.1</v>
      </c>
      <c r="M31" s="853" t="str">
        <f>IF(J31=0,"",J31)</f>
        <v>Расходы на оплату труда основного производственного персонала</v>
      </c>
      <c r="N31" s="853" t="str">
        <f>IF(K31=0,"",K31)</f>
        <v/>
      </c>
      <c r="O31" s="966" t="s">
        <v>2311</v>
      </c>
      <c r="P31" s="966" t="s">
        <v>754</v>
      </c>
      <c r="Q31" s="966" t="s">
        <v>2311</v>
      </c>
      <c r="R31" s="966" t="s">
        <v>754</v>
      </c>
      <c r="S31" s="966"/>
      <c r="T31" s="974" t="s">
        <v>2312</v>
      </c>
      <c r="U31" s="855" t="s">
        <v>2312</v>
      </c>
      <c r="V31" s="855" t="s">
        <v>2312</v>
      </c>
      <c r="W31" s="855" t="s">
        <v>2312</v>
      </c>
      <c r="X31" s="852"/>
      <c r="Y31" s="1009"/>
      <c r="Z31" s="855"/>
      <c r="AA31" s="858"/>
      <c r="AB31" s="858"/>
      <c r="AC31" s="858"/>
      <c r="AD31" s="855"/>
    </row>
    <row customHeight="1" ht="36">
      <c r="A32" s="854"/>
      <c r="B32" s="908">
        <v>15</v>
      </c>
      <c r="C32" s="852" t="s">
        <v>2313</v>
      </c>
      <c r="D32" s="976"/>
      <c r="E32" s="852"/>
      <c r="F32" s="852"/>
      <c r="G32" s="900"/>
      <c r="H32" s="967"/>
      <c r="I32" s="1014" t="str">
        <f>INDEX(TEMPLATE_NUMBER_POINT_FHD,B32,MATCH(TEMPLATE_SPHERE,TEMPLATE_SPHERE_LIST_FOR_NOTE,0))</f>
        <v>2.6.2</v>
      </c>
      <c r="J32" s="101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14">
        <f>INDEX(TEMPLATE_NOTE_POINT_FHD,B32,MATCH(TEMPLATE_SPHERE,TEMPLATE_SPHERE_LIST_FOR_NOTE,0))</f>
        <v>0</v>
      </c>
      <c r="L32" s="853" t="str">
        <f>IF(I32=0,"",I32)</f>
        <v>2.6.2</v>
      </c>
      <c r="M32" s="853" t="str">
        <f>IF(J32=0,"",J32)</f>
        <v>Страховые взносы на обязательное социальное страхование, выплачиваемые из фонда оплаты труда основного производственного персонала</v>
      </c>
      <c r="N32" s="853" t="str">
        <f>IF(K32=0,"",K32)</f>
        <v/>
      </c>
      <c r="O32" s="966" t="s">
        <v>2314</v>
      </c>
      <c r="P32" s="966" t="s">
        <v>756</v>
      </c>
      <c r="Q32" s="966" t="s">
        <v>2314</v>
      </c>
      <c r="R32" s="966" t="s">
        <v>756</v>
      </c>
      <c r="S32" s="966"/>
      <c r="T32" s="97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855" t="s">
        <v>2315</v>
      </c>
      <c r="V32" s="855" t="s">
        <v>2315</v>
      </c>
      <c r="W32" s="855" t="s">
        <v>2315</v>
      </c>
      <c r="X32" s="852"/>
      <c r="Y32" s="1009"/>
      <c r="Z32" s="855"/>
      <c r="AA32" s="858"/>
      <c r="AB32" s="858"/>
      <c r="AC32" s="858"/>
      <c r="AD32" s="855"/>
    </row>
    <row customHeight="1" ht="45">
      <c r="A33" s="854"/>
      <c r="B33" s="908">
        <v>16</v>
      </c>
      <c r="C33" s="852">
        <v>10</v>
      </c>
      <c r="D33" s="976"/>
      <c r="E33" s="852"/>
      <c r="F33" s="852"/>
      <c r="G33" s="900"/>
      <c r="H33" s="967"/>
      <c r="I33" s="1014" t="str">
        <f>INDEX(TEMPLATE_NUMBER_POINT_FHD,B33,MATCH(TEMPLATE_SPHERE,TEMPLATE_SPHERE_LIST_FOR_NOTE,0))</f>
        <v>2.7</v>
      </c>
      <c r="J33" s="101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14">
        <f>INDEX(TEMPLATE_NOTE_POINT_FHD,B33,MATCH(TEMPLATE_SPHERE,TEMPLATE_SPHERE_LIST_FOR_NOTE,0))</f>
        <v>0</v>
      </c>
      <c r="L33" s="853" t="str">
        <f>IF(I33=0,"",I33)</f>
        <v>2.7</v>
      </c>
      <c r="M33" s="85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853" t="str">
        <f>IF(K33=0,"",K33)</f>
        <v/>
      </c>
      <c r="O33" s="966" t="s">
        <v>762</v>
      </c>
      <c r="P33" s="966" t="s">
        <v>758</v>
      </c>
      <c r="Q33" s="966" t="s">
        <v>762</v>
      </c>
      <c r="R33" s="966" t="s">
        <v>758</v>
      </c>
      <c r="S33" s="966"/>
      <c r="T33" s="97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855" t="s">
        <v>2316</v>
      </c>
      <c r="V33" s="855" t="s">
        <v>2316</v>
      </c>
      <c r="W33" s="855" t="s">
        <v>2317</v>
      </c>
      <c r="X33" s="852"/>
      <c r="Y33" s="1009"/>
      <c r="Z33" s="855"/>
      <c r="AA33" s="858" t="s">
        <v>2318</v>
      </c>
      <c r="AB33" s="858" t="s">
        <v>2318</v>
      </c>
      <c r="AC33" s="858" t="s">
        <v>2318</v>
      </c>
      <c r="AD33" s="855"/>
    </row>
    <row customHeight="1" ht="27">
      <c r="A34" s="854"/>
      <c r="B34" s="908">
        <v>17</v>
      </c>
      <c r="C34" s="852" t="s">
        <v>2319</v>
      </c>
      <c r="D34" s="976"/>
      <c r="E34" s="852"/>
      <c r="F34" s="852"/>
      <c r="G34" s="900"/>
      <c r="H34" s="967"/>
      <c r="I34" s="1014" t="str">
        <f>INDEX(TEMPLATE_NUMBER_POINT_FHD,B34,MATCH(TEMPLATE_SPHERE,TEMPLATE_SPHERE_LIST_FOR_NOTE,0))</f>
        <v>2.7.1</v>
      </c>
      <c r="J34" s="1014" t="str">
        <f>INDEX(TEMPLATE_DATA_POINT_FHD,B34,MATCH(TEMPLATE_SPHERE,TEMPLATE_SPHERE_LIST_FOR_NOTE,0))</f>
        <v>Расходы на оплату труда административно-управленческого персонала</v>
      </c>
      <c r="K34" s="1014">
        <f>INDEX(TEMPLATE_NOTE_POINT_FHD,B34,MATCH(TEMPLATE_SPHERE,TEMPLATE_SPHERE_LIST_FOR_NOTE,0))</f>
        <v>0</v>
      </c>
      <c r="L34" s="853" t="str">
        <f>IF(I34=0,"",I34)</f>
        <v>2.7.1</v>
      </c>
      <c r="M34" s="853" t="str">
        <f>IF(J34=0,"",J34)</f>
        <v>Расходы на оплату труда административно-управленческого персонала</v>
      </c>
      <c r="N34" s="853" t="str">
        <f>IF(K34=0,"",K34)</f>
        <v/>
      </c>
      <c r="O34" s="966" t="s">
        <v>2320</v>
      </c>
      <c r="P34" s="966" t="s">
        <v>2302</v>
      </c>
      <c r="Q34" s="966" t="s">
        <v>2320</v>
      </c>
      <c r="R34" s="966" t="s">
        <v>2302</v>
      </c>
      <c r="S34" s="966"/>
      <c r="T34" s="975" t="s">
        <v>2321</v>
      </c>
      <c r="U34" s="855" t="s">
        <v>2321</v>
      </c>
      <c r="V34" s="855" t="s">
        <v>2321</v>
      </c>
      <c r="W34" s="855" t="s">
        <v>2322</v>
      </c>
      <c r="X34" s="852"/>
      <c r="Y34" s="1009"/>
      <c r="Z34" s="855"/>
      <c r="AA34" s="858"/>
      <c r="AB34" s="855"/>
      <c r="AC34" s="855"/>
      <c r="AD34" s="855"/>
    </row>
    <row customHeight="1" ht="45">
      <c r="A35" s="854"/>
      <c r="B35" s="908">
        <v>18</v>
      </c>
      <c r="C35" s="852" t="s">
        <v>2323</v>
      </c>
      <c r="D35" s="976"/>
      <c r="E35" s="852"/>
      <c r="F35" s="852"/>
      <c r="G35" s="900"/>
      <c r="H35" s="967"/>
      <c r="I35" s="1014" t="str">
        <f>INDEX(TEMPLATE_NUMBER_POINT_FHD,B35,MATCH(TEMPLATE_SPHERE,TEMPLATE_SPHERE_LIST_FOR_NOTE,0))</f>
        <v>2.7.2</v>
      </c>
      <c r="J35" s="101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14">
        <f>INDEX(TEMPLATE_NOTE_POINT_FHD,B35,MATCH(TEMPLATE_SPHERE,TEMPLATE_SPHERE_LIST_FOR_NOTE,0))</f>
        <v>0</v>
      </c>
      <c r="L35" s="853" t="str">
        <f>IF(I35=0,"",I35)</f>
        <v>2.7.2</v>
      </c>
      <c r="M35" s="85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53" t="str">
        <f>IF(K35=0,"",K35)</f>
        <v/>
      </c>
      <c r="O35" s="966" t="s">
        <v>2324</v>
      </c>
      <c r="P35" s="966" t="s">
        <v>2304</v>
      </c>
      <c r="Q35" s="966" t="s">
        <v>2324</v>
      </c>
      <c r="R35" s="966" t="s">
        <v>2304</v>
      </c>
      <c r="S35" s="966"/>
      <c r="T35" s="97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855" t="s">
        <v>2325</v>
      </c>
      <c r="V35" s="855" t="s">
        <v>2325</v>
      </c>
      <c r="W35" s="855" t="s">
        <v>2325</v>
      </c>
      <c r="X35" s="852"/>
      <c r="Y35" s="1009"/>
      <c r="Z35" s="855"/>
      <c r="AA35" s="858"/>
      <c r="AB35" s="855"/>
      <c r="AC35" s="855"/>
      <c r="AD35" s="855"/>
    </row>
    <row customHeight="1" ht="18">
      <c r="A36" s="854"/>
      <c r="B36" s="908">
        <v>19</v>
      </c>
      <c r="C36" s="852">
        <v>11</v>
      </c>
      <c r="D36" s="976"/>
      <c r="E36" s="852"/>
      <c r="F36" s="852"/>
      <c r="G36" s="900"/>
      <c r="H36" s="967"/>
      <c r="I36" s="1014" t="str">
        <f>INDEX(TEMPLATE_NUMBER_POINT_FHD,B36,MATCH(TEMPLATE_SPHERE,TEMPLATE_SPHERE_LIST_FOR_NOTE,0))</f>
        <v>2.8</v>
      </c>
      <c r="J36" s="1014" t="str">
        <f>INDEX(TEMPLATE_DATA_POINT_FHD,B36,MATCH(TEMPLATE_SPHERE,TEMPLATE_SPHERE_LIST_FOR_NOTE,0))</f>
        <v>Расходы на амортизацию основных средств и нематериальных активов</v>
      </c>
      <c r="K36" s="1014">
        <f>INDEX(TEMPLATE_NOTE_POINT_FHD,B36,MATCH(TEMPLATE_SPHERE,TEMPLATE_SPHERE_LIST_FOR_NOTE,0))</f>
        <v>0</v>
      </c>
      <c r="L36" s="853" t="str">
        <f>IF(I36=0,"",I36)</f>
        <v>2.8</v>
      </c>
      <c r="M36" s="853" t="str">
        <f>IF(J36=0,"",J36)</f>
        <v>Расходы на амортизацию основных средств и нематериальных активов</v>
      </c>
      <c r="N36" s="853" t="str">
        <f>IF(K36=0,"",K36)</f>
        <v/>
      </c>
      <c r="O36" s="966" t="s">
        <v>764</v>
      </c>
      <c r="P36" s="966" t="s">
        <v>760</v>
      </c>
      <c r="Q36" s="966" t="s">
        <v>764</v>
      </c>
      <c r="R36" s="966" t="s">
        <v>760</v>
      </c>
      <c r="S36" s="966"/>
      <c r="T36" s="973" t="s">
        <v>2326</v>
      </c>
      <c r="U36" s="855" t="s">
        <v>2326</v>
      </c>
      <c r="V36" s="855" t="s">
        <v>2326</v>
      </c>
      <c r="W36" s="855" t="s">
        <v>2326</v>
      </c>
      <c r="X36" s="852"/>
      <c r="Y36" s="1009"/>
      <c r="Z36" s="855"/>
      <c r="AA36" s="858"/>
      <c r="AB36" s="855"/>
      <c r="AC36" s="855"/>
      <c r="AD36" s="855"/>
    </row>
    <row customHeight="1" ht="18">
      <c r="A37" s="854"/>
      <c r="B37" s="908">
        <v>20</v>
      </c>
      <c r="C37" s="852" t="s">
        <v>2327</v>
      </c>
      <c r="D37" s="976"/>
      <c r="E37" s="852"/>
      <c r="F37" s="852"/>
      <c r="G37" s="900"/>
      <c r="H37" s="967"/>
      <c r="I37" s="1014" t="str">
        <f>INDEX(TEMPLATE_NUMBER_POINT_FHD,B37,MATCH(TEMPLATE_SPHERE,TEMPLATE_SPHERE_LIST_FOR_NOTE,0))</f>
        <v>2.8.1</v>
      </c>
      <c r="J37" s="1014" t="str">
        <f>INDEX(TEMPLATE_DATA_POINT_FHD,B37,MATCH(TEMPLATE_SPHERE,TEMPLATE_SPHERE_LIST_FOR_NOTE,0))</f>
        <v>Расходы на амортизацию основных средств</v>
      </c>
      <c r="K37" s="1014">
        <f>INDEX(TEMPLATE_NOTE_POINT_FHD,B37,MATCH(TEMPLATE_SPHERE,TEMPLATE_SPHERE_LIST_FOR_NOTE,0))</f>
        <v>0</v>
      </c>
      <c r="L37" s="853" t="str">
        <f>IF(I37=0,"",I37)</f>
        <v>2.8.1</v>
      </c>
      <c r="M37" s="853" t="str">
        <f>IF(J37=0,"",J37)</f>
        <v>Расходы на амортизацию основных средств</v>
      </c>
      <c r="N37" s="853" t="str">
        <f>IF(K37=0,"",K37)</f>
        <v/>
      </c>
      <c r="O37" s="966" t="s">
        <v>2328</v>
      </c>
      <c r="P37" s="966" t="s">
        <v>2311</v>
      </c>
      <c r="Q37" s="966" t="s">
        <v>2328</v>
      </c>
      <c r="R37" s="966" t="s">
        <v>2311</v>
      </c>
      <c r="S37" s="966"/>
      <c r="T37" s="973" t="s">
        <v>2329</v>
      </c>
      <c r="U37" s="855" t="s">
        <v>2329</v>
      </c>
      <c r="V37" s="855" t="s">
        <v>2329</v>
      </c>
      <c r="W37" s="855" t="s">
        <v>2329</v>
      </c>
      <c r="X37" s="852"/>
      <c r="Y37" s="1009"/>
      <c r="Z37" s="855"/>
      <c r="AA37" s="858"/>
      <c r="AB37" s="855"/>
      <c r="AC37" s="855"/>
      <c r="AD37" s="855"/>
    </row>
    <row customHeight="1" ht="18">
      <c r="A38" s="854"/>
      <c r="B38" s="908">
        <v>21</v>
      </c>
      <c r="C38" s="852" t="s">
        <v>2330</v>
      </c>
      <c r="D38" s="976"/>
      <c r="E38" s="852"/>
      <c r="F38" s="852"/>
      <c r="G38" s="900"/>
      <c r="H38" s="967"/>
      <c r="I38" s="1014" t="str">
        <f>INDEX(TEMPLATE_NUMBER_POINT_FHD,B38,MATCH(TEMPLATE_SPHERE,TEMPLATE_SPHERE_LIST_FOR_NOTE,0))</f>
        <v>2.8.2</v>
      </c>
      <c r="J38" s="1014" t="str">
        <f>INDEX(TEMPLATE_DATA_POINT_FHD,B38,MATCH(TEMPLATE_SPHERE,TEMPLATE_SPHERE_LIST_FOR_NOTE,0))</f>
        <v>Расходы на амортизацию нематериальных активов</v>
      </c>
      <c r="K38" s="1014">
        <f>INDEX(TEMPLATE_NOTE_POINT_FHD,B38,MATCH(TEMPLATE_SPHERE,TEMPLATE_SPHERE_LIST_FOR_NOTE,0))</f>
        <v>0</v>
      </c>
      <c r="L38" s="853" t="str">
        <f>IF(I38=0,"",I38)</f>
        <v>2.8.2</v>
      </c>
      <c r="M38" s="853" t="str">
        <f>IF(J38=0,"",J38)</f>
        <v>Расходы на амортизацию нематериальных активов</v>
      </c>
      <c r="N38" s="853" t="str">
        <f>IF(K38=0,"",K38)</f>
        <v/>
      </c>
      <c r="O38" s="966" t="s">
        <v>2331</v>
      </c>
      <c r="P38" s="966" t="s">
        <v>2314</v>
      </c>
      <c r="Q38" s="966" t="s">
        <v>2331</v>
      </c>
      <c r="R38" s="966" t="s">
        <v>2314</v>
      </c>
      <c r="S38" s="966"/>
      <c r="T38" s="973" t="s">
        <v>2332</v>
      </c>
      <c r="U38" s="855" t="s">
        <v>2332</v>
      </c>
      <c r="V38" s="855" t="s">
        <v>2332</v>
      </c>
      <c r="W38" s="855" t="s">
        <v>2332</v>
      </c>
      <c r="X38" s="852"/>
      <c r="Y38" s="1009"/>
      <c r="Z38" s="855"/>
      <c r="AA38" s="858"/>
      <c r="AB38" s="855"/>
      <c r="AC38" s="855"/>
      <c r="AD38" s="855"/>
    </row>
    <row customHeight="1" ht="36">
      <c r="A39" s="854"/>
      <c r="B39" s="908">
        <v>22</v>
      </c>
      <c r="C39" s="852">
        <v>12</v>
      </c>
      <c r="D39" s="976"/>
      <c r="E39" s="852"/>
      <c r="F39" s="852"/>
      <c r="G39" s="900"/>
      <c r="H39" s="967"/>
      <c r="I39" s="1014" t="str">
        <f>INDEX(TEMPLATE_NUMBER_POINT_FHD,B39,MATCH(TEMPLATE_SPHERE,TEMPLATE_SPHERE_LIST_FOR_NOTE,0))</f>
        <v>2.9</v>
      </c>
      <c r="J39" s="1014" t="str">
        <f>INDEX(TEMPLATE_DATA_POINT_FHD,B39,MATCH(TEMPLATE_SPHERE,TEMPLATE_SPHERE_LIST_FOR_NOTE,0))</f>
        <v>Расходы на аренду имущества, используемого для осуществления регулируемого вида деятельности</v>
      </c>
      <c r="K39" s="1014">
        <f>INDEX(TEMPLATE_NOTE_POINT_FHD,B39,MATCH(TEMPLATE_SPHERE,TEMPLATE_SPHERE_LIST_FOR_NOTE,0))</f>
        <v>0</v>
      </c>
      <c r="L39" s="853" t="str">
        <f>IF(I39=0,"",I39)</f>
        <v>2.9</v>
      </c>
      <c r="M39" s="853" t="str">
        <f>IF(J39=0,"",J39)</f>
        <v>Расходы на аренду имущества, используемого для осуществления регулируемого вида деятельности</v>
      </c>
      <c r="N39" s="853" t="str">
        <f>IF(K39=0,"",K39)</f>
        <v/>
      </c>
      <c r="O39" s="966" t="s">
        <v>768</v>
      </c>
      <c r="P39" s="966" t="s">
        <v>762</v>
      </c>
      <c r="Q39" s="966" t="s">
        <v>768</v>
      </c>
      <c r="R39" s="966" t="s">
        <v>762</v>
      </c>
      <c r="S39" s="966"/>
      <c r="T39" s="973" t="s">
        <v>2333</v>
      </c>
      <c r="U39" s="855" t="s">
        <v>2334</v>
      </c>
      <c r="V39" s="855" t="s">
        <v>2335</v>
      </c>
      <c r="W39" s="855" t="s">
        <v>2336</v>
      </c>
      <c r="X39" s="852"/>
      <c r="Y39" s="1009"/>
      <c r="Z39" s="855"/>
      <c r="AA39" s="858"/>
      <c r="AB39" s="855"/>
      <c r="AC39" s="855"/>
      <c r="AD39" s="855"/>
    </row>
    <row customHeight="1" ht="18">
      <c r="A40" s="854"/>
      <c r="B40" s="908">
        <v>23</v>
      </c>
      <c r="C40" s="852">
        <v>13</v>
      </c>
      <c r="D40" s="976"/>
      <c r="E40" s="852"/>
      <c r="F40" s="852"/>
      <c r="G40" s="852"/>
      <c r="H40" s="903"/>
      <c r="I40" s="1014" t="str">
        <f>INDEX(TEMPLATE_NUMBER_POINT_FHD,B40,MATCH(TEMPLATE_SPHERE,TEMPLATE_SPHERE_LIST_FOR_NOTE,0))</f>
        <v>2.10</v>
      </c>
      <c r="J40" s="1014" t="str">
        <f>INDEX(TEMPLATE_DATA_POINT_FHD,B40,MATCH(TEMPLATE_SPHERE,TEMPLATE_SPHERE_LIST_FOR_NOTE,0))</f>
        <v>Общепроизводственные расходы, в том числе:</v>
      </c>
      <c r="K40" s="1014" t="str">
        <f>INDEX(TEMPLATE_NOTE_POINT_FHD,B40,MATCH(TEMPLATE_SPHERE,TEMPLATE_SPHERE_LIST_FOR_NOTE,0))</f>
        <v>Указывается общая сумма общепроизводственных расходов.</v>
      </c>
      <c r="L40" s="853" t="str">
        <f>IF(I40=0,"",I40)</f>
        <v>2.10</v>
      </c>
      <c r="M40" s="853" t="str">
        <f>IF(J40=0,"",J40)</f>
        <v>Общепроизводственные расходы, в том числе:</v>
      </c>
      <c r="N40" s="853" t="str">
        <f>IF(K40=0,"",K40)</f>
        <v>Указывается общая сумма общепроизводственных расходов.</v>
      </c>
      <c r="O40" s="966" t="s">
        <v>820</v>
      </c>
      <c r="P40" s="966" t="s">
        <v>764</v>
      </c>
      <c r="Q40" s="966" t="s">
        <v>820</v>
      </c>
      <c r="R40" s="966" t="s">
        <v>764</v>
      </c>
      <c r="S40" s="966"/>
      <c r="T40" s="852" t="s">
        <v>2337</v>
      </c>
      <c r="U40" s="852" t="s">
        <v>2337</v>
      </c>
      <c r="V40" s="852" t="s">
        <v>2337</v>
      </c>
      <c r="W40" s="852" t="s">
        <v>2337</v>
      </c>
      <c r="X40" s="852"/>
      <c r="Y40" s="1009"/>
      <c r="Z40" s="855" t="s">
        <v>2338</v>
      </c>
      <c r="AA40" s="858" t="s">
        <v>2338</v>
      </c>
      <c r="AB40" s="858" t="s">
        <v>2338</v>
      </c>
      <c r="AC40" s="858" t="s">
        <v>2338</v>
      </c>
      <c r="AD40" s="855"/>
    </row>
    <row customHeight="1" ht="27">
      <c r="A41" s="854"/>
      <c r="B41" s="908">
        <v>24</v>
      </c>
      <c r="C41" s="852" t="s">
        <v>2339</v>
      </c>
      <c r="D41" s="976"/>
      <c r="E41" s="852"/>
      <c r="F41" s="852"/>
      <c r="G41" s="852"/>
      <c r="H41" s="900"/>
      <c r="I41" s="1014" t="str">
        <f>INDEX(TEMPLATE_NUMBER_POINT_FHD,B41,MATCH(TEMPLATE_SPHERE,TEMPLATE_SPHERE_LIST_FOR_NOTE,0))</f>
        <v>2.10.1</v>
      </c>
      <c r="J41" s="1014" t="str">
        <f>INDEX(TEMPLATE_DATA_POINT_FHD,B41,MATCH(TEMPLATE_SPHERE,TEMPLATE_SPHERE_LIST_FOR_NOTE,0))</f>
        <v>Расходы на текущий ремонт</v>
      </c>
      <c r="K41" s="1014" t="str">
        <f>INDEX(TEMPLATE_NOTE_POINT_FHD,B41,MATCH(TEMPLATE_SPHERE,TEMPLATE_SPHERE_LIST_FOR_NOTE,0))</f>
        <v>Указываются расходы на текущий ремонт, отнесенные к общепроизводственным расходам.</v>
      </c>
      <c r="L41" s="853" t="str">
        <f>IF(I41=0,"",I41)</f>
        <v>2.10.1</v>
      </c>
      <c r="M41" s="853" t="str">
        <f>IF(J41=0,"",J41)</f>
        <v>Расходы на текущий ремонт</v>
      </c>
      <c r="N41" s="853" t="str">
        <f>IF(K41=0,"",K41)</f>
        <v>Указываются расходы на текущий ремонт, отнесенные к общепроизводственным расходам.</v>
      </c>
      <c r="O41" s="966" t="s">
        <v>2340</v>
      </c>
      <c r="P41" s="966" t="s">
        <v>2328</v>
      </c>
      <c r="Q41" s="966" t="s">
        <v>2340</v>
      </c>
      <c r="R41" s="966" t="s">
        <v>2328</v>
      </c>
      <c r="S41" s="966"/>
      <c r="T41" s="852" t="s">
        <v>2341</v>
      </c>
      <c r="U41" s="852" t="s">
        <v>2341</v>
      </c>
      <c r="V41" s="852" t="s">
        <v>2341</v>
      </c>
      <c r="W41" s="852" t="s">
        <v>2341</v>
      </c>
      <c r="X41" s="852"/>
      <c r="Y41" s="1009"/>
      <c r="Z41" s="855" t="s">
        <v>2342</v>
      </c>
      <c r="AA41" s="855" t="s">
        <v>2342</v>
      </c>
      <c r="AB41" s="855" t="s">
        <v>2342</v>
      </c>
      <c r="AC41" s="855" t="s">
        <v>2342</v>
      </c>
      <c r="AD41" s="855"/>
    </row>
    <row customHeight="1" ht="27">
      <c r="A42" s="854"/>
      <c r="B42" s="908">
        <v>25</v>
      </c>
      <c r="C42" s="852" t="s">
        <v>2343</v>
      </c>
      <c r="D42" s="976"/>
      <c r="E42" s="852"/>
      <c r="F42" s="852"/>
      <c r="G42" s="852"/>
      <c r="H42" s="900"/>
      <c r="I42" s="1014" t="str">
        <f>INDEX(TEMPLATE_NUMBER_POINT_FHD,B42,MATCH(TEMPLATE_SPHERE,TEMPLATE_SPHERE_LIST_FOR_NOTE,0))</f>
        <v>2.10.2</v>
      </c>
      <c r="J42" s="1014" t="str">
        <f>INDEX(TEMPLATE_DATA_POINT_FHD,B42,MATCH(TEMPLATE_SPHERE,TEMPLATE_SPHERE_LIST_FOR_NOTE,0))</f>
        <v>Расходы на капитальный ремонт</v>
      </c>
      <c r="K42" s="1014" t="str">
        <f>INDEX(TEMPLATE_NOTE_POINT_FHD,B42,MATCH(TEMPLATE_SPHERE,TEMPLATE_SPHERE_LIST_FOR_NOTE,0))</f>
        <v>Указываются расходы на капитальный ремонт, отнесенные к общепроизводственным расходам.</v>
      </c>
      <c r="L42" s="853" t="str">
        <f>IF(I42=0,"",I42)</f>
        <v>2.10.2</v>
      </c>
      <c r="M42" s="853" t="str">
        <f>IF(J42=0,"",J42)</f>
        <v>Расходы на капитальный ремонт</v>
      </c>
      <c r="N42" s="853" t="str">
        <f>IF(K42=0,"",K42)</f>
        <v>Указываются расходы на капитальный ремонт, отнесенные к общепроизводственным расходам.</v>
      </c>
      <c r="O42" s="966" t="s">
        <v>2344</v>
      </c>
      <c r="P42" s="966" t="s">
        <v>2331</v>
      </c>
      <c r="Q42" s="966" t="s">
        <v>2344</v>
      </c>
      <c r="R42" s="966" t="s">
        <v>2331</v>
      </c>
      <c r="S42" s="966"/>
      <c r="T42" s="852" t="s">
        <v>2345</v>
      </c>
      <c r="U42" s="852" t="s">
        <v>2345</v>
      </c>
      <c r="V42" s="852" t="s">
        <v>2345</v>
      </c>
      <c r="W42" s="852" t="s">
        <v>2345</v>
      </c>
      <c r="X42" s="852"/>
      <c r="Y42" s="1009"/>
      <c r="Z42" s="855" t="s">
        <v>2346</v>
      </c>
      <c r="AA42" s="855" t="s">
        <v>2346</v>
      </c>
      <c r="AB42" s="855" t="s">
        <v>2346</v>
      </c>
      <c r="AC42" s="855" t="s">
        <v>2346</v>
      </c>
      <c r="AD42" s="855"/>
    </row>
    <row customHeight="1" ht="18">
      <c r="A43" s="854"/>
      <c r="B43" s="908">
        <v>26</v>
      </c>
      <c r="C43" s="852">
        <v>14</v>
      </c>
      <c r="D43" s="976"/>
      <c r="E43" s="852"/>
      <c r="F43" s="852"/>
      <c r="G43" s="852"/>
      <c r="H43" s="900"/>
      <c r="I43" s="1014" t="str">
        <f>INDEX(TEMPLATE_NUMBER_POINT_FHD,B43,MATCH(TEMPLATE_SPHERE,TEMPLATE_SPHERE_LIST_FOR_NOTE,0))</f>
        <v>2.11</v>
      </c>
      <c r="J43" s="1014" t="str">
        <f>INDEX(TEMPLATE_DATA_POINT_FHD,B43,MATCH(TEMPLATE_SPHERE,TEMPLATE_SPHERE_LIST_FOR_NOTE,0))</f>
        <v>Общехозяйственные расходы, в том числе:</v>
      </c>
      <c r="K43" s="1014" t="str">
        <f>INDEX(TEMPLATE_NOTE_POINT_FHD,B43,MATCH(TEMPLATE_SPHERE,TEMPLATE_SPHERE_LIST_FOR_NOTE,0))</f>
        <v>Указывается общая сумма общехозяйственных расходов.</v>
      </c>
      <c r="L43" s="853" t="str">
        <f>IF(I43=0,"",I43)</f>
        <v>2.11</v>
      </c>
      <c r="M43" s="853" t="str">
        <f>IF(J43=0,"",J43)</f>
        <v>Общехозяйственные расходы, в том числе:</v>
      </c>
      <c r="N43" s="853" t="str">
        <f>IF(K43=0,"",K43)</f>
        <v>Указывается общая сумма общехозяйственных расходов.</v>
      </c>
      <c r="O43" s="966" t="s">
        <v>2347</v>
      </c>
      <c r="P43" s="966" t="s">
        <v>768</v>
      </c>
      <c r="Q43" s="966" t="s">
        <v>2347</v>
      </c>
      <c r="R43" s="966" t="s">
        <v>768</v>
      </c>
      <c r="S43" s="966"/>
      <c r="T43" s="852" t="s">
        <v>2348</v>
      </c>
      <c r="U43" s="852" t="s">
        <v>2348</v>
      </c>
      <c r="V43" s="852" t="s">
        <v>2348</v>
      </c>
      <c r="W43" s="852" t="s">
        <v>2348</v>
      </c>
      <c r="X43" s="852"/>
      <c r="Y43" s="1009"/>
      <c r="Z43" s="855" t="s">
        <v>2349</v>
      </c>
      <c r="AA43" s="855" t="s">
        <v>2349</v>
      </c>
      <c r="AB43" s="855" t="s">
        <v>2349</v>
      </c>
      <c r="AC43" s="855" t="s">
        <v>2349</v>
      </c>
      <c r="AD43" s="855"/>
    </row>
    <row customHeight="1" ht="27">
      <c r="A44" s="854"/>
      <c r="B44" s="908">
        <v>27</v>
      </c>
      <c r="C44" s="852" t="s">
        <v>2350</v>
      </c>
      <c r="D44" s="976"/>
      <c r="E44" s="852"/>
      <c r="F44" s="852"/>
      <c r="G44" s="852"/>
      <c r="H44" s="900"/>
      <c r="I44" s="1014" t="str">
        <f>INDEX(TEMPLATE_NUMBER_POINT_FHD,B44,MATCH(TEMPLATE_SPHERE,TEMPLATE_SPHERE_LIST_FOR_NOTE,0))</f>
        <v>2.11.1</v>
      </c>
      <c r="J44" s="1014" t="str">
        <f>INDEX(TEMPLATE_DATA_POINT_FHD,B44,MATCH(TEMPLATE_SPHERE,TEMPLATE_SPHERE_LIST_FOR_NOTE,0))</f>
        <v>Расходы на текущий ремонт</v>
      </c>
      <c r="K44" s="1014" t="str">
        <f>INDEX(TEMPLATE_NOTE_POINT_FHD,B44,MATCH(TEMPLATE_SPHERE,TEMPLATE_SPHERE_LIST_FOR_NOTE,0))</f>
        <v>Указываются расходы на текущий ремонт, отнесенные к общехозяйственным расходам.</v>
      </c>
      <c r="L44" s="853" t="str">
        <f>IF(I44=0,"",I44)</f>
        <v>2.11.1</v>
      </c>
      <c r="M44" s="853" t="str">
        <f>IF(J44=0,"",J44)</f>
        <v>Расходы на текущий ремонт</v>
      </c>
      <c r="N44" s="853" t="str">
        <f>IF(K44=0,"",K44)</f>
        <v>Указываются расходы на текущий ремонт, отнесенные к общехозяйственным расходам.</v>
      </c>
      <c r="O44" s="966" t="s">
        <v>2351</v>
      </c>
      <c r="P44" s="966" t="s">
        <v>771</v>
      </c>
      <c r="Q44" s="966" t="s">
        <v>2351</v>
      </c>
      <c r="R44" s="966" t="s">
        <v>771</v>
      </c>
      <c r="S44" s="966"/>
      <c r="T44" s="852" t="s">
        <v>2341</v>
      </c>
      <c r="U44" s="852" t="s">
        <v>2341</v>
      </c>
      <c r="V44" s="852" t="s">
        <v>2341</v>
      </c>
      <c r="W44" s="852" t="s">
        <v>2341</v>
      </c>
      <c r="X44" s="852"/>
      <c r="Y44" s="1009"/>
      <c r="Z44" s="855" t="s">
        <v>2352</v>
      </c>
      <c r="AA44" s="855" t="s">
        <v>2352</v>
      </c>
      <c r="AB44" s="855" t="s">
        <v>2352</v>
      </c>
      <c r="AC44" s="855" t="s">
        <v>2352</v>
      </c>
      <c r="AD44" s="855"/>
    </row>
    <row customHeight="1" ht="27">
      <c r="A45" s="854"/>
      <c r="B45" s="908">
        <v>28</v>
      </c>
      <c r="C45" s="852" t="s">
        <v>2353</v>
      </c>
      <c r="D45" s="976"/>
      <c r="E45" s="852"/>
      <c r="F45" s="852"/>
      <c r="G45" s="852"/>
      <c r="H45" s="900"/>
      <c r="I45" s="1014" t="str">
        <f>INDEX(TEMPLATE_NUMBER_POINT_FHD,B45,MATCH(TEMPLATE_SPHERE,TEMPLATE_SPHERE_LIST_FOR_NOTE,0))</f>
        <v>2.11.2</v>
      </c>
      <c r="J45" s="1014" t="str">
        <f>INDEX(TEMPLATE_DATA_POINT_FHD,B45,MATCH(TEMPLATE_SPHERE,TEMPLATE_SPHERE_LIST_FOR_NOTE,0))</f>
        <v>Расходы на капитальный ремонт</v>
      </c>
      <c r="K45" s="1014" t="str">
        <f>INDEX(TEMPLATE_NOTE_POINT_FHD,B45,MATCH(TEMPLATE_SPHERE,TEMPLATE_SPHERE_LIST_FOR_NOTE,0))</f>
        <v>Указываются расходы на капитальный ремонт, отнесенные к общехозяйственным расходам.</v>
      </c>
      <c r="L45" s="853" t="str">
        <f>IF(I45=0,"",I45)</f>
        <v>2.11.2</v>
      </c>
      <c r="M45" s="853" t="str">
        <f>IF(J45=0,"",J45)</f>
        <v>Расходы на капитальный ремонт</v>
      </c>
      <c r="N45" s="853" t="str">
        <f>IF(K45=0,"",K45)</f>
        <v>Указываются расходы на капитальный ремонт, отнесенные к общехозяйственным расходам.</v>
      </c>
      <c r="O45" s="966" t="s">
        <v>2354</v>
      </c>
      <c r="P45" s="966" t="s">
        <v>774</v>
      </c>
      <c r="Q45" s="966" t="s">
        <v>2354</v>
      </c>
      <c r="R45" s="966" t="s">
        <v>774</v>
      </c>
      <c r="S45" s="966"/>
      <c r="T45" s="852" t="s">
        <v>2345</v>
      </c>
      <c r="U45" s="852" t="s">
        <v>2345</v>
      </c>
      <c r="V45" s="852" t="s">
        <v>2345</v>
      </c>
      <c r="W45" s="852" t="s">
        <v>2345</v>
      </c>
      <c r="X45" s="852"/>
      <c r="Y45" s="1009"/>
      <c r="Z45" s="855" t="s">
        <v>2355</v>
      </c>
      <c r="AA45" s="855" t="s">
        <v>2355</v>
      </c>
      <c r="AB45" s="855" t="s">
        <v>2355</v>
      </c>
      <c r="AC45" s="855" t="s">
        <v>2355</v>
      </c>
      <c r="AD45" s="855"/>
    </row>
    <row customHeight="1" ht="54">
      <c r="A46" s="854"/>
      <c r="B46" s="908">
        <v>29</v>
      </c>
      <c r="C46" s="852">
        <v>15</v>
      </c>
      <c r="D46" s="976"/>
      <c r="E46" s="852"/>
      <c r="F46" s="852"/>
      <c r="G46" s="852"/>
      <c r="H46" s="900"/>
      <c r="I46" s="1014" t="str">
        <f>INDEX(TEMPLATE_NUMBER_POINT_FHD,B46,MATCH(TEMPLATE_SPHERE,TEMPLATE_SPHERE_LIST_FOR_NOTE,0))</f>
        <v>2.12</v>
      </c>
      <c r="J46" s="1014" t="str">
        <f>INDEX(TEMPLATE_DATA_POINT_FHD,B46,MATCH(TEMPLATE_SPHERE,TEMPLATE_SPHERE_LIST_FOR_NOTE,0))</f>
        <v>Расходы на капитальный и текущий ремонт основных средств</v>
      </c>
      <c r="K46" s="1014"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53" t="str">
        <f>IF(I46=0,"",I46)</f>
        <v>2.12</v>
      </c>
      <c r="M46" s="853" t="str">
        <f>IF(J46=0,"",J46)</f>
        <v>Расходы на капитальный и текущий ремонт основных средств</v>
      </c>
      <c r="N46" s="853"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6" t="s">
        <v>2356</v>
      </c>
      <c r="P46" s="966" t="s">
        <v>820</v>
      </c>
      <c r="Q46" s="966" t="s">
        <v>2356</v>
      </c>
      <c r="R46" s="966" t="s">
        <v>820</v>
      </c>
      <c r="S46" s="966"/>
      <c r="T46" s="85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852" t="s">
        <v>2357</v>
      </c>
      <c r="V46" s="852" t="s">
        <v>2357</v>
      </c>
      <c r="W46" s="852" t="s">
        <v>2357</v>
      </c>
      <c r="X46" s="852"/>
      <c r="Y46" s="1009"/>
      <c r="Z46" s="855" t="s">
        <v>2358</v>
      </c>
      <c r="AA46" s="855" t="s">
        <v>2359</v>
      </c>
      <c r="AB46" s="855" t="s">
        <v>2359</v>
      </c>
      <c r="AC46" s="855" t="s">
        <v>2359</v>
      </c>
      <c r="AD46" s="855"/>
    </row>
    <row customHeight="1" ht="54">
      <c r="A47" s="854"/>
      <c r="B47" s="908">
        <v>30</v>
      </c>
      <c r="C47" s="852" t="s">
        <v>2360</v>
      </c>
      <c r="D47" s="976"/>
      <c r="E47" s="852"/>
      <c r="F47" s="852"/>
      <c r="G47" s="852"/>
      <c r="H47" s="900"/>
      <c r="I47" s="1014" t="str">
        <f>INDEX(TEMPLATE_NUMBER_POINT_FHD,B47,MATCH(TEMPLATE_SPHERE,TEMPLATE_SPHERE_LIST_FOR_NOTE,0))</f>
        <v>2.12.1</v>
      </c>
      <c r="J47" s="101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14">
        <f>INDEX(TEMPLATE_NOTE_POINT_FHD,B47,MATCH(TEMPLATE_SPHERE,TEMPLATE_SPHERE_LIST_FOR_NOTE,0))</f>
        <v>0</v>
      </c>
      <c r="L47" s="853" t="str">
        <f>IF(I47=0,"",I47)</f>
        <v>2.12.1</v>
      </c>
      <c r="M47" s="85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53" t="str">
        <f>IF(K47=0,"",K47)</f>
        <v/>
      </c>
      <c r="O47" s="966" t="s">
        <v>2361</v>
      </c>
      <c r="P47" s="966" t="s">
        <v>2340</v>
      </c>
      <c r="Q47" s="966" t="s">
        <v>2361</v>
      </c>
      <c r="R47" s="966" t="s">
        <v>2340</v>
      </c>
      <c r="S47" s="966"/>
      <c r="T47" s="852" t="s">
        <v>2362</v>
      </c>
      <c r="U47" s="852" t="s">
        <v>2362</v>
      </c>
      <c r="V47" s="852" t="s">
        <v>2362</v>
      </c>
      <c r="W47" s="852" t="s">
        <v>2362</v>
      </c>
      <c r="X47" s="852"/>
      <c r="Y47" s="1009"/>
      <c r="Z47" s="855"/>
      <c r="AA47" s="858"/>
      <c r="AB47" s="858"/>
      <c r="AC47" s="858"/>
      <c r="AD47" s="855"/>
    </row>
    <row customHeight="1" ht="54">
      <c r="A48" s="854"/>
      <c r="B48" s="908">
        <v>31</v>
      </c>
      <c r="C48" s="852">
        <v>16</v>
      </c>
      <c r="D48" s="976"/>
      <c r="E48" s="852"/>
      <c r="F48" s="852"/>
      <c r="G48" s="852"/>
      <c r="H48" s="900"/>
      <c r="I48" s="1014">
        <f>INDEX(TEMPLATE_NUMBER_POINT_FHD,B48,MATCH(TEMPLATE_SPHERE,TEMPLATE_SPHERE_LIST_FOR_NOTE,0))</f>
        <v>0</v>
      </c>
      <c r="J48" s="1014">
        <f>INDEX(TEMPLATE_DATA_POINT_FHD,B48,MATCH(TEMPLATE_SPHERE,TEMPLATE_SPHERE_LIST_FOR_NOTE,0))</f>
        <v>0</v>
      </c>
      <c r="K48" s="1014">
        <f>INDEX(TEMPLATE_NOTE_POINT_FHD,B48,MATCH(TEMPLATE_SPHERE,TEMPLATE_SPHERE_LIST_FOR_NOTE,0))</f>
        <v>0</v>
      </c>
      <c r="L48" s="853" t="str">
        <f>IF(I48=0,"",I48)</f>
        <v/>
      </c>
      <c r="M48" s="853" t="str">
        <f>IF(J48=0,"",J48)</f>
        <v/>
      </c>
      <c r="N48" s="853" t="str">
        <f>IF(K48=0,"",K48)</f>
        <v/>
      </c>
      <c r="O48" s="966"/>
      <c r="P48" s="966" t="s">
        <v>2347</v>
      </c>
      <c r="Q48" s="966" t="s">
        <v>2363</v>
      </c>
      <c r="R48" s="966" t="s">
        <v>2347</v>
      </c>
      <c r="S48" s="966"/>
      <c r="T48" s="852"/>
      <c r="U48" s="852" t="s">
        <v>2364</v>
      </c>
      <c r="V48" s="852" t="s">
        <v>2365</v>
      </c>
      <c r="W48" s="852" t="s">
        <v>2365</v>
      </c>
      <c r="X48" s="852"/>
      <c r="Y48" s="1009"/>
      <c r="Z48" s="855"/>
      <c r="AA48" s="858" t="s">
        <v>2359</v>
      </c>
      <c r="AB48" s="858" t="s">
        <v>2359</v>
      </c>
      <c r="AC48" s="858" t="s">
        <v>2359</v>
      </c>
      <c r="AD48" s="855"/>
    </row>
    <row customHeight="1" ht="54">
      <c r="A49" s="854"/>
      <c r="B49" s="908">
        <v>32</v>
      </c>
      <c r="C49" s="852" t="s">
        <v>2366</v>
      </c>
      <c r="D49" s="976"/>
      <c r="E49" s="852"/>
      <c r="F49" s="852"/>
      <c r="G49" s="852"/>
      <c r="H49" s="900"/>
      <c r="I49" s="1014">
        <f>INDEX(TEMPLATE_NUMBER_POINT_FHD,B49,MATCH(TEMPLATE_SPHERE,TEMPLATE_SPHERE_LIST_FOR_NOTE,0))</f>
        <v>0</v>
      </c>
      <c r="J49" s="1014">
        <f>INDEX(TEMPLATE_DATA_POINT_FHD,B49,MATCH(TEMPLATE_SPHERE,TEMPLATE_SPHERE_LIST_FOR_NOTE,0))</f>
        <v>0</v>
      </c>
      <c r="K49" s="1014">
        <f>INDEX(TEMPLATE_NOTE_POINT_FHD,B49,MATCH(TEMPLATE_SPHERE,TEMPLATE_SPHERE_LIST_FOR_NOTE,0))</f>
        <v>0</v>
      </c>
      <c r="L49" s="853" t="str">
        <f>IF(I49=0,"",I49)</f>
        <v/>
      </c>
      <c r="M49" s="853" t="str">
        <f>IF(J49=0,"",J49)</f>
        <v/>
      </c>
      <c r="N49" s="853" t="str">
        <f>IF(K49=0,"",K49)</f>
        <v/>
      </c>
      <c r="O49" s="966"/>
      <c r="P49" s="966" t="s">
        <v>2351</v>
      </c>
      <c r="Q49" s="966" t="s">
        <v>2367</v>
      </c>
      <c r="R49" s="966" t="s">
        <v>2351</v>
      </c>
      <c r="S49" s="966"/>
      <c r="T49" s="852"/>
      <c r="U49" s="852" t="s">
        <v>2362</v>
      </c>
      <c r="V49" s="852" t="s">
        <v>2362</v>
      </c>
      <c r="W49" s="852" t="s">
        <v>2362</v>
      </c>
      <c r="X49" s="852"/>
      <c r="Y49" s="1009"/>
      <c r="Z49" s="855"/>
      <c r="AA49" s="858"/>
      <c r="AB49" s="858"/>
      <c r="AC49" s="858"/>
      <c r="AD49" s="855"/>
    </row>
    <row customHeight="1" ht="126">
      <c r="A50" s="854"/>
      <c r="B50" s="908">
        <v>33</v>
      </c>
      <c r="C50" s="852">
        <v>17</v>
      </c>
      <c r="D50" s="976"/>
      <c r="E50" s="852"/>
      <c r="F50" s="852"/>
      <c r="G50" s="852"/>
      <c r="H50" s="900"/>
      <c r="I50" s="1014" t="str">
        <f>INDEX(TEMPLATE_NUMBER_POINT_FHD,B50,MATCH(TEMPLATE_SPHERE,TEMPLATE_SPHERE_LIST_FOR_NOTE,0))</f>
        <v>2.13</v>
      </c>
      <c r="J50" s="1014"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01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853" t="str">
        <f>IF(I50=0,"",I50)</f>
        <v>2.13</v>
      </c>
      <c r="M50" s="853" t="str">
        <f>IF(J50=0,"",J50)</f>
        <v>Прочие расходы, которые подлежат отнесению на регулируемые виды деятельности в соответствии с законодательством Российской Федерации</v>
      </c>
      <c r="N50" s="853"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966" t="s">
        <v>2363</v>
      </c>
      <c r="P50" s="966" t="s">
        <v>2356</v>
      </c>
      <c r="Q50" s="966" t="s">
        <v>2368</v>
      </c>
      <c r="R50" s="966" t="s">
        <v>2356</v>
      </c>
      <c r="S50" s="966"/>
      <c r="T50" s="852" t="s">
        <v>2369</v>
      </c>
      <c r="U50" s="852" t="s">
        <v>2370</v>
      </c>
      <c r="V50" s="852" t="s">
        <v>2371</v>
      </c>
      <c r="W50" s="852" t="s">
        <v>2372</v>
      </c>
      <c r="X50" s="852"/>
      <c r="Y50" s="1009"/>
      <c r="Z50" s="855" t="s">
        <v>2373</v>
      </c>
      <c r="AA50" s="858" t="s">
        <v>2374</v>
      </c>
      <c r="AB50" s="858" t="s">
        <v>2374</v>
      </c>
      <c r="AC50" s="858" t="s">
        <v>2374</v>
      </c>
      <c r="AD50" s="855"/>
    </row>
    <row customHeight="1" ht="27">
      <c r="A51" s="854"/>
      <c r="B51" s="908">
        <v>34</v>
      </c>
      <c r="C51" s="852" t="s">
        <v>2375</v>
      </c>
      <c r="D51" s="976"/>
      <c r="E51" s="852"/>
      <c r="F51" s="852"/>
      <c r="G51" s="852"/>
      <c r="H51" s="900"/>
      <c r="I51" s="1014" t="str">
        <f>INDEX(TEMPLATE_NUMBER_POINT_FHD,B51,MATCH(TEMPLATE_SPHERE,TEMPLATE_SPHERE_LIST_FOR_NOTE,0))</f>
        <v>3</v>
      </c>
      <c r="J51" s="1014"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014">
        <f>INDEX(TEMPLATE_NOTE_POINT_FHD,B51,MATCH(TEMPLATE_SPHERE,TEMPLATE_SPHERE_LIST_FOR_NOTE,0))</f>
        <v>0</v>
      </c>
      <c r="L51" s="853" t="str">
        <f>IF(I51=0,"",I51)</f>
        <v>3</v>
      </c>
      <c r="M51" s="853" t="str">
        <f>IF(J51=0,"",J51)</f>
        <v>Валовая прибыль (убытки) от реализации товаров и оказания услуг по регулируемому виду деятельности</v>
      </c>
      <c r="N51" s="853" t="str">
        <f>IF(K51=0,"",K51)</f>
        <v/>
      </c>
      <c r="O51" s="966" t="s">
        <v>91</v>
      </c>
      <c r="P51" s="966"/>
      <c r="Q51" s="966"/>
      <c r="R51" s="966"/>
      <c r="S51" s="966"/>
      <c r="T51" s="852" t="s">
        <v>2376</v>
      </c>
      <c r="U51" s="852"/>
      <c r="V51" s="852"/>
      <c r="W51" s="852"/>
      <c r="X51" s="852"/>
      <c r="Y51" s="1009"/>
      <c r="Z51" s="855"/>
      <c r="AA51" s="858"/>
      <c r="AB51" s="858"/>
      <c r="AC51" s="858"/>
      <c r="AD51" s="855"/>
    </row>
    <row customHeight="1" ht="36">
      <c r="A52" s="854"/>
      <c r="B52" s="908">
        <v>35</v>
      </c>
      <c r="C52" s="852" t="s">
        <v>2272</v>
      </c>
      <c r="D52" s="976" t="s">
        <v>2272</v>
      </c>
      <c r="E52" s="852" t="s">
        <v>2272</v>
      </c>
      <c r="F52" s="852" t="s">
        <v>2272</v>
      </c>
      <c r="G52" s="852"/>
      <c r="H52" s="900"/>
      <c r="I52" s="1014" t="str">
        <f>INDEX(TEMPLATE_NUMBER_POINT_FHD,B52,MATCH(TEMPLATE_SPHERE,TEMPLATE_SPHERE_LIST_FOR_NOTE,0))</f>
        <v>4</v>
      </c>
      <c r="J52" s="1014" t="str">
        <f>INDEX(TEMPLATE_DATA_POINT_FHD,B52,MATCH(TEMPLATE_SPHERE,TEMPLATE_SPHERE_LIST_FOR_NOTE,0))</f>
        <v>Чистая прибыль, полученная от регулируемого вида деятельности, в том числе:</v>
      </c>
      <c r="K52" s="1014" t="str">
        <f>INDEX(TEMPLATE_NOTE_POINT_FHD,B52,MATCH(TEMPLATE_SPHERE,TEMPLATE_SPHERE_LIST_FOR_NOTE,0))</f>
        <v>Указывается общая сумма чистой прибыли, полученной от регулируемого вида деятельности.</v>
      </c>
      <c r="L52" s="853" t="str">
        <f>IF(I52=0,"",I52)</f>
        <v>4</v>
      </c>
      <c r="M52" s="853" t="str">
        <f>IF(J52=0,"",J52)</f>
        <v>Чистая прибыль, полученная от регулируемого вида деятельности, в том числе:</v>
      </c>
      <c r="N52" s="853" t="str">
        <f>IF(K52=0,"",K52)</f>
        <v>Указывается общая сумма чистой прибыли, полученной от регулируемого вида деятельности.</v>
      </c>
      <c r="O52" s="966" t="s">
        <v>92</v>
      </c>
      <c r="P52" s="966" t="s">
        <v>91</v>
      </c>
      <c r="Q52" s="966" t="s">
        <v>91</v>
      </c>
      <c r="R52" s="966" t="s">
        <v>91</v>
      </c>
      <c r="S52" s="966"/>
      <c r="T52" s="852" t="s">
        <v>2377</v>
      </c>
      <c r="U52" s="852" t="s">
        <v>2378</v>
      </c>
      <c r="V52" s="852" t="s">
        <v>2379</v>
      </c>
      <c r="W52" s="852" t="s">
        <v>2380</v>
      </c>
      <c r="X52" s="852"/>
      <c r="Y52" s="1009"/>
      <c r="Z52" s="855" t="s">
        <v>778</v>
      </c>
      <c r="AA52" s="858" t="s">
        <v>778</v>
      </c>
      <c r="AB52" s="858" t="s">
        <v>778</v>
      </c>
      <c r="AC52" s="858" t="s">
        <v>778</v>
      </c>
      <c r="AD52" s="855"/>
    </row>
    <row customHeight="1" ht="36">
      <c r="A53" s="854"/>
      <c r="B53" s="908">
        <v>36</v>
      </c>
      <c r="C53" s="852">
        <v>1</v>
      </c>
      <c r="D53" s="976"/>
      <c r="E53" s="852"/>
      <c r="F53" s="852"/>
      <c r="G53" s="852"/>
      <c r="H53" s="900"/>
      <c r="I53" s="1014" t="str">
        <f>INDEX(TEMPLATE_NUMBER_POINT_FHD,B53,MATCH(TEMPLATE_SPHERE,TEMPLATE_SPHERE_LIST_FOR_NOTE,0))</f>
        <v>4.1</v>
      </c>
      <c r="J53" s="101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14">
        <f>INDEX(TEMPLATE_NOTE_POINT_FHD,B53,MATCH(TEMPLATE_SPHERE,TEMPLATE_SPHERE_LIST_FOR_NOTE,0))</f>
        <v>0</v>
      </c>
      <c r="L53" s="853" t="str">
        <f>IF(I53=0,"",I53)</f>
        <v>4.1</v>
      </c>
      <c r="M53" s="85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53" t="str">
        <f>IF(K53=0,"",K53)</f>
        <v/>
      </c>
      <c r="O53" s="966" t="s">
        <v>782</v>
      </c>
      <c r="P53" s="966" t="s">
        <v>339</v>
      </c>
      <c r="Q53" s="966" t="s">
        <v>339</v>
      </c>
      <c r="R53" s="966" t="s">
        <v>339</v>
      </c>
      <c r="S53" s="966"/>
      <c r="T53" s="852" t="s">
        <v>2381</v>
      </c>
      <c r="U53" s="852" t="s">
        <v>2381</v>
      </c>
      <c r="V53" s="852" t="s">
        <v>2381</v>
      </c>
      <c r="W53" s="852" t="s">
        <v>2381</v>
      </c>
      <c r="X53" s="852"/>
      <c r="Y53" s="1009"/>
      <c r="Z53" s="855"/>
      <c r="AA53" s="858"/>
      <c r="AB53" s="855"/>
      <c r="AC53" s="855"/>
      <c r="AD53" s="855"/>
    </row>
    <row customHeight="1" ht="18">
      <c r="A54" s="854"/>
      <c r="B54" s="908">
        <v>37</v>
      </c>
      <c r="C54" s="852" t="s">
        <v>2278</v>
      </c>
      <c r="D54" s="976" t="s">
        <v>2278</v>
      </c>
      <c r="E54" s="852" t="s">
        <v>2278</v>
      </c>
      <c r="F54" s="852" t="s">
        <v>2278</v>
      </c>
      <c r="G54" s="852"/>
      <c r="H54" s="900"/>
      <c r="I54" s="1014" t="str">
        <f>INDEX(TEMPLATE_NUMBER_POINT_FHD,B54,MATCH(TEMPLATE_SPHERE,TEMPLATE_SPHERE_LIST_FOR_NOTE,0))</f>
        <v>5</v>
      </c>
      <c r="J54" s="1014" t="str">
        <f>INDEX(TEMPLATE_DATA_POINT_FHD,B54,MATCH(TEMPLATE_SPHERE,TEMPLATE_SPHERE_LIST_FOR_NOTE,0))</f>
        <v>Изменение стоимости основных фондов, в том числе:</v>
      </c>
      <c r="K54" s="1014" t="str">
        <f>INDEX(TEMPLATE_NOTE_POINT_FHD,B54,MATCH(TEMPLATE_SPHERE,TEMPLATE_SPHERE_LIST_FOR_NOTE,0))</f>
        <v>Указывается общее изменение стоимости основных фондов.</v>
      </c>
      <c r="L54" s="853" t="str">
        <f>IF(I54=0,"",I54)</f>
        <v>5</v>
      </c>
      <c r="M54" s="853" t="str">
        <f>IF(J54=0,"",J54)</f>
        <v>Изменение стоимости основных фондов, в том числе:</v>
      </c>
      <c r="N54" s="853" t="str">
        <f>IF(K54=0,"",K54)</f>
        <v>Указывается общее изменение стоимости основных фондов.</v>
      </c>
      <c r="O54" s="966" t="s">
        <v>119</v>
      </c>
      <c r="P54" s="966" t="s">
        <v>92</v>
      </c>
      <c r="Q54" s="966" t="s">
        <v>92</v>
      </c>
      <c r="R54" s="966" t="s">
        <v>92</v>
      </c>
      <c r="S54" s="966"/>
      <c r="T54" s="852" t="s">
        <v>780</v>
      </c>
      <c r="U54" s="852" t="s">
        <v>780</v>
      </c>
      <c r="V54" s="852" t="s">
        <v>780</v>
      </c>
      <c r="W54" s="852" t="s">
        <v>780</v>
      </c>
      <c r="X54" s="852"/>
      <c r="Y54" s="1009"/>
      <c r="Z54" s="855" t="s">
        <v>781</v>
      </c>
      <c r="AA54" s="855" t="s">
        <v>781</v>
      </c>
      <c r="AB54" s="855" t="s">
        <v>781</v>
      </c>
      <c r="AC54" s="855" t="s">
        <v>781</v>
      </c>
      <c r="AD54" s="855"/>
    </row>
    <row customHeight="1" ht="36">
      <c r="A55" s="854"/>
      <c r="B55" s="908">
        <v>38</v>
      </c>
      <c r="C55" s="852">
        <v>1</v>
      </c>
      <c r="D55" s="976"/>
      <c r="E55" s="852"/>
      <c r="F55" s="852"/>
      <c r="G55" s="852"/>
      <c r="H55" s="900"/>
      <c r="I55" s="1014" t="str">
        <f>INDEX(TEMPLATE_NUMBER_POINT_FHD,B55,MATCH(TEMPLATE_SPHERE,TEMPLATE_SPHERE_LIST_FOR_NOTE,0))</f>
        <v>5.1</v>
      </c>
      <c r="J55" s="1014" t="str">
        <f>INDEX(TEMPLATE_DATA_POINT_FHD,B55,MATCH(TEMPLATE_SPHERE,TEMPLATE_SPHERE_LIST_FOR_NOTE,0))</f>
        <v>Изменение стоимости основных фондов за счет:</v>
      </c>
      <c r="K55" s="101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53" t="str">
        <f>IF(I55=0,"",I55)</f>
        <v>5.1</v>
      </c>
      <c r="M55" s="853" t="str">
        <f>IF(J55=0,"",J55)</f>
        <v>Изменение стоимости основных фондов за счет:</v>
      </c>
      <c r="N55" s="853" t="str">
        <f>IF(K55=0,"",K55)</f>
        <v>Указываются общее изменение стоимости основных фондов за счет их ввода в эксплуатацию и вывода из эксплуатации.</v>
      </c>
      <c r="O55" s="966" t="s">
        <v>328</v>
      </c>
      <c r="P55" s="966" t="s">
        <v>782</v>
      </c>
      <c r="Q55" s="966" t="s">
        <v>782</v>
      </c>
      <c r="R55" s="966" t="s">
        <v>782</v>
      </c>
      <c r="S55" s="966"/>
      <c r="T55" s="853"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852" t="s">
        <v>2382</v>
      </c>
      <c r="V55" s="852" t="s">
        <v>2382</v>
      </c>
      <c r="W55" s="852" t="s">
        <v>2382</v>
      </c>
      <c r="X55" s="852"/>
      <c r="Y55" s="1009"/>
      <c r="Z55" s="855" t="s">
        <v>2383</v>
      </c>
      <c r="AA55" s="855" t="s">
        <v>2383</v>
      </c>
      <c r="AB55" s="855" t="s">
        <v>2383</v>
      </c>
      <c r="AC55" s="855" t="s">
        <v>2383</v>
      </c>
      <c r="AD55" s="855"/>
    </row>
    <row customHeight="1" ht="27">
      <c r="A56" s="854"/>
      <c r="B56" s="908">
        <v>39</v>
      </c>
      <c r="C56" s="852" t="s">
        <v>1328</v>
      </c>
      <c r="D56" s="976"/>
      <c r="E56" s="852"/>
      <c r="F56" s="852"/>
      <c r="G56" s="852"/>
      <c r="H56" s="900"/>
      <c r="I56" s="1014" t="str">
        <f>INDEX(TEMPLATE_NUMBER_POINT_FHD,B56,MATCH(TEMPLATE_SPHERE,TEMPLATE_SPHERE_LIST_FOR_NOTE,0))</f>
        <v>5.1.1</v>
      </c>
      <c r="J56" s="1014" t="str">
        <f>INDEX(TEMPLATE_DATA_POINT_FHD,B56,MATCH(TEMPLATE_SPHERE,TEMPLATE_SPHERE_LIST_FOR_NOTE,0))</f>
        <v>Изменения стоимости основных фондов за счет их ввода в эксплуатацию</v>
      </c>
      <c r="K56" s="1014" t="str">
        <f>INDEX(TEMPLATE_NOTE_POINT_FHD,B56,MATCH(TEMPLATE_SPHERE,TEMPLATE_SPHERE_LIST_FOR_NOTE,0))</f>
        <v>Указываются изменение стоимости основных фондов за счет их ввода в эксплуатацию.</v>
      </c>
      <c r="L56" s="853" t="str">
        <f>IF(I56=0,"",I56)</f>
        <v>5.1.1</v>
      </c>
      <c r="M56" s="853" t="str">
        <f>IF(J56=0,"",J56)</f>
        <v>Изменения стоимости основных фондов за счет их ввода в эксплуатацию</v>
      </c>
      <c r="N56" s="853" t="str">
        <f>IF(K56=0,"",K56)</f>
        <v>Указываются изменение стоимости основных фондов за счет их ввода в эксплуатацию.</v>
      </c>
      <c r="O56" s="966" t="s">
        <v>1451</v>
      </c>
      <c r="P56" s="966" t="s">
        <v>785</v>
      </c>
      <c r="Q56" s="966" t="s">
        <v>785</v>
      </c>
      <c r="R56" s="966" t="s">
        <v>785</v>
      </c>
      <c r="S56" s="966"/>
      <c r="T56" s="853"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852" t="s">
        <v>2384</v>
      </c>
      <c r="V56" s="852" t="s">
        <v>2384</v>
      </c>
      <c r="W56" s="852" t="s">
        <v>2384</v>
      </c>
      <c r="X56" s="852"/>
      <c r="Y56" s="1009"/>
      <c r="Z56" s="855" t="s">
        <v>787</v>
      </c>
      <c r="AA56" s="855" t="s">
        <v>787</v>
      </c>
      <c r="AB56" s="855" t="s">
        <v>787</v>
      </c>
      <c r="AC56" s="855" t="s">
        <v>787</v>
      </c>
      <c r="AD56" s="855"/>
    </row>
    <row customHeight="1" ht="27">
      <c r="A57" s="854"/>
      <c r="B57" s="908">
        <v>40</v>
      </c>
      <c r="C57" s="852" t="s">
        <v>1330</v>
      </c>
      <c r="D57" s="976"/>
      <c r="E57" s="852"/>
      <c r="F57" s="852"/>
      <c r="G57" s="852"/>
      <c r="H57" s="900"/>
      <c r="I57" s="1014" t="str">
        <f>INDEX(TEMPLATE_NUMBER_POINT_FHD,B57,MATCH(TEMPLATE_SPHERE,TEMPLATE_SPHERE_LIST_FOR_NOTE,0))</f>
        <v>5.1.2</v>
      </c>
      <c r="J57" s="1014" t="str">
        <f>INDEX(TEMPLATE_DATA_POINT_FHD,B57,MATCH(TEMPLATE_SPHERE,TEMPLATE_SPHERE_LIST_FOR_NOTE,0))</f>
        <v>Изменения стоимости основных фондов за счет их вывода в эксплуатацию</v>
      </c>
      <c r="K57" s="1014" t="str">
        <f>INDEX(TEMPLATE_NOTE_POINT_FHD,B57,MATCH(TEMPLATE_SPHERE,TEMPLATE_SPHERE_LIST_FOR_NOTE,0))</f>
        <v>Указываются изменение стоимости основных фондов за счет их вывода из эксплуатации.</v>
      </c>
      <c r="L57" s="853" t="str">
        <f>IF(I57=0,"",I57)</f>
        <v>5.1.2</v>
      </c>
      <c r="M57" s="853" t="str">
        <f>IF(J57=0,"",J57)</f>
        <v>Изменения стоимости основных фондов за счет их вывода в эксплуатацию</v>
      </c>
      <c r="N57" s="853" t="str">
        <f>IF(K57=0,"",K57)</f>
        <v>Указываются изменение стоимости основных фондов за счет их вывода из эксплуатации.</v>
      </c>
      <c r="O57" s="966" t="s">
        <v>2385</v>
      </c>
      <c r="P57" s="966" t="s">
        <v>788</v>
      </c>
      <c r="Q57" s="966" t="s">
        <v>788</v>
      </c>
      <c r="R57" s="966" t="s">
        <v>788</v>
      </c>
      <c r="S57" s="966"/>
      <c r="T57" s="853"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852" t="s">
        <v>2386</v>
      </c>
      <c r="V57" s="852" t="s">
        <v>2386</v>
      </c>
      <c r="W57" s="852" t="s">
        <v>2386</v>
      </c>
      <c r="X57" s="852"/>
      <c r="Y57" s="1009"/>
      <c r="Z57" s="855" t="s">
        <v>790</v>
      </c>
      <c r="AA57" s="855" t="s">
        <v>790</v>
      </c>
      <c r="AB57" s="855" t="s">
        <v>790</v>
      </c>
      <c r="AC57" s="855" t="s">
        <v>790</v>
      </c>
      <c r="AD57" s="855"/>
    </row>
    <row customHeight="1" ht="18">
      <c r="A58" s="854"/>
      <c r="B58" s="908">
        <v>41</v>
      </c>
      <c r="C58" s="852">
        <v>2</v>
      </c>
      <c r="D58" s="976"/>
      <c r="E58" s="852"/>
      <c r="F58" s="852"/>
      <c r="G58" s="852"/>
      <c r="H58" s="900"/>
      <c r="I58" s="1014" t="str">
        <f>INDEX(TEMPLATE_NUMBER_POINT_FHD,B58,MATCH(TEMPLATE_SPHERE,TEMPLATE_SPHERE_LIST_FOR_NOTE,0))</f>
        <v>5.2</v>
      </c>
      <c r="J58" s="1014" t="str">
        <f>INDEX(TEMPLATE_DATA_POINT_FHD,B58,MATCH(TEMPLATE_SPHERE,TEMPLATE_SPHERE_LIST_FOR_NOTE,0))</f>
        <v>Изменение стоимости основных фондов за счет их переоценки</v>
      </c>
      <c r="K58" s="1014">
        <f>INDEX(TEMPLATE_NOTE_POINT_FHD,B58,MATCH(TEMPLATE_SPHERE,TEMPLATE_SPHERE_LIST_FOR_NOTE,0))</f>
        <v>0</v>
      </c>
      <c r="L58" s="853" t="str">
        <f>IF(I58=0,"",I58)</f>
        <v>5.2</v>
      </c>
      <c r="M58" s="853" t="str">
        <f>IF(J58=0,"",J58)</f>
        <v>Изменение стоимости основных фондов за счет их переоценки</v>
      </c>
      <c r="N58" s="853" t="str">
        <f>IF(K58=0,"",K58)</f>
        <v/>
      </c>
      <c r="O58" s="966" t="s">
        <v>925</v>
      </c>
      <c r="P58" s="966" t="s">
        <v>826</v>
      </c>
      <c r="Q58" s="966" t="s">
        <v>826</v>
      </c>
      <c r="R58" s="966" t="s">
        <v>826</v>
      </c>
      <c r="S58" s="966"/>
      <c r="T58" s="853"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852" t="s">
        <v>2387</v>
      </c>
      <c r="V58" s="852" t="s">
        <v>2387</v>
      </c>
      <c r="W58" s="852" t="s">
        <v>2387</v>
      </c>
      <c r="X58" s="852"/>
      <c r="Y58" s="1009"/>
      <c r="Z58" s="855"/>
      <c r="AA58" s="858"/>
      <c r="AB58" s="855"/>
      <c r="AC58" s="855"/>
      <c r="AD58" s="855"/>
    </row>
    <row customHeight="1" ht="36">
      <c r="A59" s="854"/>
      <c r="B59" s="908">
        <v>42</v>
      </c>
      <c r="C59" s="852">
        <v>3</v>
      </c>
      <c r="D59" s="976" t="s">
        <v>2375</v>
      </c>
      <c r="E59" s="852" t="s">
        <v>2375</v>
      </c>
      <c r="F59" s="852" t="s">
        <v>2375</v>
      </c>
      <c r="G59" s="852"/>
      <c r="H59" s="900"/>
      <c r="I59" s="1014">
        <f>INDEX(TEMPLATE_NUMBER_POINT_FHD,B59,MATCH(TEMPLATE_SPHERE,TEMPLATE_SPHERE_LIST_FOR_NOTE,0))</f>
        <v>0</v>
      </c>
      <c r="J59" s="1014">
        <f>INDEX(TEMPLATE_DATA_POINT_FHD,B59,MATCH(TEMPLATE_SPHERE,TEMPLATE_SPHERE_LIST_FOR_NOTE,0))</f>
        <v>0</v>
      </c>
      <c r="K59" s="1014">
        <f>INDEX(TEMPLATE_NOTE_POINT_FHD,B59,MATCH(TEMPLATE_SPHERE,TEMPLATE_SPHERE_LIST_FOR_NOTE,0))</f>
        <v>0</v>
      </c>
      <c r="L59" s="853" t="str">
        <f>IF(I59=0,"",I59)</f>
        <v/>
      </c>
      <c r="M59" s="853" t="str">
        <f>IF(J59=0,"",J59)</f>
        <v/>
      </c>
      <c r="N59" s="853" t="str">
        <f>IF(K59=0,"",K59)</f>
        <v/>
      </c>
      <c r="O59" s="966"/>
      <c r="P59" s="966" t="s">
        <v>119</v>
      </c>
      <c r="Q59" s="966" t="s">
        <v>119</v>
      </c>
      <c r="R59" s="966" t="s">
        <v>119</v>
      </c>
      <c r="S59" s="966"/>
      <c r="T59" s="852"/>
      <c r="U59" s="852" t="s">
        <v>2388</v>
      </c>
      <c r="V59" s="852" t="s">
        <v>2389</v>
      </c>
      <c r="W59" s="852" t="s">
        <v>2390</v>
      </c>
      <c r="X59" s="852"/>
      <c r="Y59" s="1009"/>
      <c r="Z59" s="855"/>
      <c r="AA59" s="858"/>
      <c r="AB59" s="855"/>
      <c r="AC59" s="855"/>
      <c r="AD59" s="855"/>
    </row>
    <row customHeight="1" ht="81">
      <c r="A60" s="854"/>
      <c r="B60" s="908">
        <v>43</v>
      </c>
      <c r="C60" s="852" t="s">
        <v>2391</v>
      </c>
      <c r="D60" s="976" t="s">
        <v>2391</v>
      </c>
      <c r="E60" s="852" t="s">
        <v>2391</v>
      </c>
      <c r="F60" s="852" t="s">
        <v>2391</v>
      </c>
      <c r="G60" s="852"/>
      <c r="H60" s="900"/>
      <c r="I60" s="1014" t="str">
        <f>INDEX(TEMPLATE_NUMBER_POINT_FHD,B60,MATCH(TEMPLATE_SPHERE,TEMPLATE_SPHERE_LIST_FOR_NOTE,0))</f>
        <v>6</v>
      </c>
      <c r="J60" s="1014" t="str">
        <f>INDEX(TEMPLATE_DATA_POINT_FHD,B60,MATCH(TEMPLATE_SPHERE,TEMPLATE_SPHERE_LIST_FOR_NOTE,0))</f>
        <v>Годовая бухгалтерская (финансовая) отчетность, включая бухгалтерский баланс и приложения к нему</v>
      </c>
      <c r="K60" s="1014"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853" t="str">
        <f>IF(I60=0,"",I60)</f>
        <v>6</v>
      </c>
      <c r="M60" s="853" t="str">
        <f>IF(J60=0,"",J60)</f>
        <v>Годовая бухгалтерская (финансовая) отчетность, включая бухгалтерский баланс и приложения к нему</v>
      </c>
      <c r="N60" s="853"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966" t="s">
        <v>93</v>
      </c>
      <c r="P60" s="966" t="s">
        <v>93</v>
      </c>
      <c r="Q60" s="966" t="s">
        <v>93</v>
      </c>
      <c r="R60" s="966" t="s">
        <v>93</v>
      </c>
      <c r="S60" s="966"/>
      <c r="T60" s="852" t="s">
        <v>652</v>
      </c>
      <c r="U60" s="852" t="s">
        <v>652</v>
      </c>
      <c r="V60" s="852" t="s">
        <v>652</v>
      </c>
      <c r="W60" s="852" t="s">
        <v>652</v>
      </c>
      <c r="X60" s="852"/>
      <c r="Y60" s="1009"/>
      <c r="Z60" s="855" t="s">
        <v>2392</v>
      </c>
      <c r="AA60" s="858" t="s">
        <v>2393</v>
      </c>
      <c r="AB60" s="855" t="s">
        <v>2394</v>
      </c>
      <c r="AC60" s="855" t="s">
        <v>2393</v>
      </c>
      <c r="AD60" s="855"/>
    </row>
    <row customHeight="1" ht="9">
      <c r="A61" s="854"/>
      <c r="B61" s="908">
        <v>44</v>
      </c>
      <c r="C61" s="852"/>
      <c r="D61" s="976" t="s">
        <v>2395</v>
      </c>
      <c r="E61" s="852"/>
      <c r="F61" s="852"/>
      <c r="G61" s="852"/>
      <c r="H61" s="900"/>
      <c r="I61" s="1014">
        <f>INDEX(TEMPLATE_NUMBER_POINT_FHD,B61,MATCH(TEMPLATE_SPHERE,TEMPLATE_SPHERE_LIST_FOR_NOTE,0))</f>
        <v>0</v>
      </c>
      <c r="J61" s="1014">
        <f>INDEX(TEMPLATE_DATA_POINT_FHD,B61,MATCH(TEMPLATE_SPHERE,TEMPLATE_SPHERE_LIST_FOR_NOTE,0))</f>
        <v>0</v>
      </c>
      <c r="K61" s="1014">
        <f>INDEX(TEMPLATE_NOTE_POINT_FHD,B61,MATCH(TEMPLATE_SPHERE,TEMPLATE_SPHERE_LIST_FOR_NOTE,0))</f>
        <v>0</v>
      </c>
      <c r="L61" s="853" t="str">
        <f>IF(I61=0,"",I61)</f>
        <v/>
      </c>
      <c r="M61" s="853" t="str">
        <f>IF(J61=0,"",J61)</f>
        <v/>
      </c>
      <c r="N61" s="853" t="str">
        <f>IF(K61=0,"",K61)</f>
        <v/>
      </c>
      <c r="O61" s="966"/>
      <c r="P61" s="966" t="s">
        <v>94</v>
      </c>
      <c r="Q61" s="966"/>
      <c r="R61" s="966"/>
      <c r="S61" s="966"/>
      <c r="T61" s="852"/>
      <c r="U61" s="852" t="s">
        <v>2396</v>
      </c>
      <c r="V61" s="852"/>
      <c r="W61" s="852"/>
      <c r="X61" s="852"/>
      <c r="Y61" s="1009"/>
      <c r="Z61" s="855"/>
      <c r="AA61" s="858"/>
      <c r="AB61" s="855"/>
      <c r="AC61" s="855"/>
      <c r="AD61" s="855"/>
    </row>
    <row customHeight="1" ht="9">
      <c r="A62" s="854"/>
      <c r="B62" s="908">
        <v>45</v>
      </c>
      <c r="C62" s="852"/>
      <c r="D62" s="976" t="s">
        <v>2397</v>
      </c>
      <c r="E62" s="852"/>
      <c r="F62" s="852"/>
      <c r="G62" s="852"/>
      <c r="H62" s="900"/>
      <c r="I62" s="1014">
        <f>INDEX(TEMPLATE_NUMBER_POINT_FHD,B62,MATCH(TEMPLATE_SPHERE,TEMPLATE_SPHERE_LIST_FOR_NOTE,0))</f>
        <v>0</v>
      </c>
      <c r="J62" s="1014">
        <f>INDEX(TEMPLATE_DATA_POINT_FHD,B62,MATCH(TEMPLATE_SPHERE,TEMPLATE_SPHERE_LIST_FOR_NOTE,0))</f>
        <v>0</v>
      </c>
      <c r="K62" s="1014">
        <f>INDEX(TEMPLATE_NOTE_POINT_FHD,B62,MATCH(TEMPLATE_SPHERE,TEMPLATE_SPHERE_LIST_FOR_NOTE,0))</f>
        <v>0</v>
      </c>
      <c r="L62" s="853" t="str">
        <f>IF(I62=0,"",I62)</f>
        <v/>
      </c>
      <c r="M62" s="853" t="str">
        <f>IF(J62=0,"",J62)</f>
        <v/>
      </c>
      <c r="N62" s="853" t="str">
        <f>IF(K62=0,"",K62)</f>
        <v/>
      </c>
      <c r="O62" s="966"/>
      <c r="P62" s="966" t="s">
        <v>120</v>
      </c>
      <c r="Q62" s="966"/>
      <c r="R62" s="966"/>
      <c r="S62" s="966"/>
      <c r="T62" s="852"/>
      <c r="U62" s="852" t="s">
        <v>2398</v>
      </c>
      <c r="V62" s="852"/>
      <c r="W62" s="852"/>
      <c r="X62" s="852"/>
      <c r="Y62" s="1009"/>
      <c r="Z62" s="855"/>
      <c r="AA62" s="858"/>
      <c r="AB62" s="855"/>
      <c r="AC62" s="855"/>
      <c r="AD62" s="855"/>
    </row>
    <row customHeight="1" ht="18">
      <c r="A63" s="854"/>
      <c r="B63" s="908">
        <v>46</v>
      </c>
      <c r="C63" s="852"/>
      <c r="D63" s="976" t="s">
        <v>2399</v>
      </c>
      <c r="E63" s="852"/>
      <c r="F63" s="852"/>
      <c r="G63" s="852"/>
      <c r="H63" s="900"/>
      <c r="I63" s="1014">
        <f>INDEX(TEMPLATE_NUMBER_POINT_FHD,B63,MATCH(TEMPLATE_SPHERE,TEMPLATE_SPHERE_LIST_FOR_NOTE,0))</f>
        <v>0</v>
      </c>
      <c r="J63" s="1014">
        <f>INDEX(TEMPLATE_DATA_POINT_FHD,B63,MATCH(TEMPLATE_SPHERE,TEMPLATE_SPHERE_LIST_FOR_NOTE,0))</f>
        <v>0</v>
      </c>
      <c r="K63" s="1014">
        <f>INDEX(TEMPLATE_NOTE_POINT_FHD,B63,MATCH(TEMPLATE_SPHERE,TEMPLATE_SPHERE_LIST_FOR_NOTE,0))</f>
        <v>0</v>
      </c>
      <c r="L63" s="853" t="str">
        <f>IF(I63=0,"",I63)</f>
        <v/>
      </c>
      <c r="M63" s="853" t="str">
        <f>IF(J63=0,"",J63)</f>
        <v/>
      </c>
      <c r="N63" s="853" t="str">
        <f>IF(K63=0,"",K63)</f>
        <v/>
      </c>
      <c r="O63" s="966"/>
      <c r="P63" s="966" t="s">
        <v>165</v>
      </c>
      <c r="Q63" s="966"/>
      <c r="R63" s="966"/>
      <c r="S63" s="966"/>
      <c r="T63" s="852"/>
      <c r="U63" s="852" t="s">
        <v>2400</v>
      </c>
      <c r="V63" s="852"/>
      <c r="W63" s="852"/>
      <c r="X63" s="852"/>
      <c r="Y63" s="1009"/>
      <c r="Z63" s="855"/>
      <c r="AA63" s="858"/>
      <c r="AB63" s="855"/>
      <c r="AC63" s="855"/>
      <c r="AD63" s="855"/>
    </row>
    <row customHeight="1" ht="18">
      <c r="A64" s="854"/>
      <c r="B64" s="908">
        <v>47</v>
      </c>
      <c r="C64" s="852"/>
      <c r="D64" s="976" t="s">
        <v>2401</v>
      </c>
      <c r="E64" s="852"/>
      <c r="F64" s="852"/>
      <c r="G64" s="852"/>
      <c r="H64" s="900"/>
      <c r="I64" s="1014">
        <f>INDEX(TEMPLATE_NUMBER_POINT_FHD,B64,MATCH(TEMPLATE_SPHERE,TEMPLATE_SPHERE_LIST_FOR_NOTE,0))</f>
        <v>0</v>
      </c>
      <c r="J64" s="1014">
        <f>INDEX(TEMPLATE_DATA_POINT_FHD,B64,MATCH(TEMPLATE_SPHERE,TEMPLATE_SPHERE_LIST_FOR_NOTE,0))</f>
        <v>0</v>
      </c>
      <c r="K64" s="1014">
        <f>INDEX(TEMPLATE_NOTE_POINT_FHD,B64,MATCH(TEMPLATE_SPHERE,TEMPLATE_SPHERE_LIST_FOR_NOTE,0))</f>
        <v>0</v>
      </c>
      <c r="L64" s="853" t="str">
        <f>IF(I64=0,"",I64)</f>
        <v/>
      </c>
      <c r="M64" s="853" t="str">
        <f>IF(J64=0,"",J64)</f>
        <v/>
      </c>
      <c r="N64" s="853" t="str">
        <f>IF(K64=0,"",K64)</f>
        <v/>
      </c>
      <c r="O64" s="966"/>
      <c r="P64" s="966" t="s">
        <v>166</v>
      </c>
      <c r="Q64" s="966"/>
      <c r="R64" s="966"/>
      <c r="S64" s="966"/>
      <c r="T64" s="852"/>
      <c r="U64" s="852" t="s">
        <v>2402</v>
      </c>
      <c r="V64" s="852"/>
      <c r="W64" s="852"/>
      <c r="X64" s="852"/>
      <c r="Y64" s="1009"/>
      <c r="Z64" s="855"/>
      <c r="AA64" s="858" t="s">
        <v>2403</v>
      </c>
      <c r="AB64" s="855"/>
      <c r="AC64" s="855"/>
      <c r="AD64" s="855"/>
    </row>
    <row customHeight="1" ht="18">
      <c r="A65" s="854"/>
      <c r="B65" s="908">
        <v>48</v>
      </c>
      <c r="C65" s="852"/>
      <c r="D65" s="976"/>
      <c r="E65" s="852"/>
      <c r="F65" s="852"/>
      <c r="G65" s="852"/>
      <c r="H65" s="900"/>
      <c r="I65" s="1014">
        <f>INDEX(TEMPLATE_NUMBER_POINT_FHD,B65,MATCH(TEMPLATE_SPHERE,TEMPLATE_SPHERE_LIST_FOR_NOTE,0))</f>
        <v>0</v>
      </c>
      <c r="J65" s="1014">
        <f>INDEX(TEMPLATE_DATA_POINT_FHD,B65,MATCH(TEMPLATE_SPHERE,TEMPLATE_SPHERE_LIST_FOR_NOTE,0))</f>
        <v>0</v>
      </c>
      <c r="K65" s="1014">
        <f>INDEX(TEMPLATE_NOTE_POINT_FHD,B65,MATCH(TEMPLATE_SPHERE,TEMPLATE_SPHERE_LIST_FOR_NOTE,0))</f>
        <v>0</v>
      </c>
      <c r="L65" s="853" t="str">
        <f>IF(I65=0,"",I65)</f>
        <v/>
      </c>
      <c r="M65" s="853" t="str">
        <f>IF(J65=0,"",J65)</f>
        <v/>
      </c>
      <c r="N65" s="853" t="str">
        <f>IF(K65=0,"",K65)</f>
        <v/>
      </c>
      <c r="O65" s="966"/>
      <c r="P65" s="966" t="s">
        <v>2319</v>
      </c>
      <c r="Q65" s="966"/>
      <c r="R65" s="966"/>
      <c r="S65" s="966"/>
      <c r="T65" s="852"/>
      <c r="U65" s="852" t="s">
        <v>2404</v>
      </c>
      <c r="V65" s="852"/>
      <c r="W65" s="852"/>
      <c r="X65" s="852"/>
      <c r="Y65" s="1009"/>
      <c r="Z65" s="855"/>
      <c r="AA65" s="858"/>
      <c r="AB65" s="855"/>
      <c r="AC65" s="855"/>
      <c r="AD65" s="855"/>
    </row>
    <row customHeight="1" ht="18">
      <c r="A66" s="854"/>
      <c r="B66" s="908">
        <v>49</v>
      </c>
      <c r="C66" s="852"/>
      <c r="D66" s="976"/>
      <c r="E66" s="852"/>
      <c r="F66" s="852"/>
      <c r="G66" s="852"/>
      <c r="H66" s="900"/>
      <c r="I66" s="1014">
        <f>INDEX(TEMPLATE_NUMBER_POINT_FHD,B66,MATCH(TEMPLATE_SPHERE,TEMPLATE_SPHERE_LIST_FOR_NOTE,0))</f>
        <v>0</v>
      </c>
      <c r="J66" s="1014">
        <f>INDEX(TEMPLATE_DATA_POINT_FHD,B66,MATCH(TEMPLATE_SPHERE,TEMPLATE_SPHERE_LIST_FOR_NOTE,0))</f>
        <v>0</v>
      </c>
      <c r="K66" s="1014">
        <f>INDEX(TEMPLATE_NOTE_POINT_FHD,B66,MATCH(TEMPLATE_SPHERE,TEMPLATE_SPHERE_LIST_FOR_NOTE,0))</f>
        <v>0</v>
      </c>
      <c r="L66" s="853" t="str">
        <f>IF(I66=0,"",I66)</f>
        <v/>
      </c>
      <c r="M66" s="853" t="str">
        <f>IF(J66=0,"",J66)</f>
        <v/>
      </c>
      <c r="N66" s="853" t="str">
        <f>IF(K66=0,"",K66)</f>
        <v/>
      </c>
      <c r="O66" s="966"/>
      <c r="P66" s="966" t="s">
        <v>2323</v>
      </c>
      <c r="Q66" s="966"/>
      <c r="R66" s="966"/>
      <c r="S66" s="966"/>
      <c r="T66" s="852"/>
      <c r="U66" s="852" t="s">
        <v>2405</v>
      </c>
      <c r="V66" s="852"/>
      <c r="W66" s="852"/>
      <c r="X66" s="852"/>
      <c r="Y66" s="1009"/>
      <c r="Z66" s="855"/>
      <c r="AA66" s="858"/>
      <c r="AB66" s="855"/>
      <c r="AC66" s="855"/>
      <c r="AD66" s="855"/>
    </row>
    <row customHeight="1" ht="27">
      <c r="A67" s="854"/>
      <c r="B67" s="908">
        <v>50</v>
      </c>
      <c r="C67" s="852"/>
      <c r="D67" s="976"/>
      <c r="E67" s="852"/>
      <c r="F67" s="852"/>
      <c r="G67" s="852"/>
      <c r="H67" s="900"/>
      <c r="I67" s="1014">
        <f>INDEX(TEMPLATE_NUMBER_POINT_FHD,B67,MATCH(TEMPLATE_SPHERE,TEMPLATE_SPHERE_LIST_FOR_NOTE,0))</f>
        <v>0</v>
      </c>
      <c r="J67" s="1014">
        <f>INDEX(TEMPLATE_DATA_POINT_FHD,B67,MATCH(TEMPLATE_SPHERE,TEMPLATE_SPHERE_LIST_FOR_NOTE,0))</f>
        <v>0</v>
      </c>
      <c r="K67" s="1014">
        <f>INDEX(TEMPLATE_NOTE_POINT_FHD,B67,MATCH(TEMPLATE_SPHERE,TEMPLATE_SPHERE_LIST_FOR_NOTE,0))</f>
        <v>0</v>
      </c>
      <c r="L67" s="853" t="str">
        <f>IF(I67=0,"",I67)</f>
        <v/>
      </c>
      <c r="M67" s="853" t="str">
        <f>IF(J67=0,"",J67)</f>
        <v/>
      </c>
      <c r="N67" s="853" t="str">
        <f>IF(K67=0,"",K67)</f>
        <v/>
      </c>
      <c r="O67" s="966"/>
      <c r="P67" s="966" t="s">
        <v>2406</v>
      </c>
      <c r="Q67" s="966"/>
      <c r="R67" s="966"/>
      <c r="S67" s="966"/>
      <c r="T67" s="852"/>
      <c r="U67" s="852" t="s">
        <v>2407</v>
      </c>
      <c r="V67" s="852"/>
      <c r="W67" s="852"/>
      <c r="X67" s="852"/>
      <c r="Y67" s="1009"/>
      <c r="Z67" s="855"/>
      <c r="AA67" s="858"/>
      <c r="AB67" s="855"/>
      <c r="AC67" s="855"/>
      <c r="AD67" s="855"/>
    </row>
    <row customHeight="1" ht="27">
      <c r="A68" s="854"/>
      <c r="B68" s="908">
        <v>51</v>
      </c>
      <c r="C68" s="852"/>
      <c r="D68" s="976"/>
      <c r="E68" s="852"/>
      <c r="F68" s="852"/>
      <c r="G68" s="852"/>
      <c r="H68" s="900"/>
      <c r="I68" s="1014">
        <f>INDEX(TEMPLATE_NUMBER_POINT_FHD,B68,MATCH(TEMPLATE_SPHERE,TEMPLATE_SPHERE_LIST_FOR_NOTE,0))</f>
        <v>0</v>
      </c>
      <c r="J68" s="1014">
        <f>INDEX(TEMPLATE_DATA_POINT_FHD,B68,MATCH(TEMPLATE_SPHERE,TEMPLATE_SPHERE_LIST_FOR_NOTE,0))</f>
        <v>0</v>
      </c>
      <c r="K68" s="1014">
        <f>INDEX(TEMPLATE_NOTE_POINT_FHD,B68,MATCH(TEMPLATE_SPHERE,TEMPLATE_SPHERE_LIST_FOR_NOTE,0))</f>
        <v>0</v>
      </c>
      <c r="L68" s="853" t="str">
        <f>IF(I68=0,"",I68)</f>
        <v/>
      </c>
      <c r="M68" s="853" t="str">
        <f>IF(J68=0,"",J68)</f>
        <v/>
      </c>
      <c r="N68" s="853" t="str">
        <f>IF(K68=0,"",K68)</f>
        <v/>
      </c>
      <c r="O68" s="966"/>
      <c r="P68" s="966" t="s">
        <v>2408</v>
      </c>
      <c r="Q68" s="966"/>
      <c r="R68" s="966"/>
      <c r="S68" s="966"/>
      <c r="T68" s="852"/>
      <c r="U68" s="852" t="s">
        <v>2409</v>
      </c>
      <c r="V68" s="852"/>
      <c r="W68" s="852"/>
      <c r="X68" s="852"/>
      <c r="Y68" s="1009"/>
      <c r="Z68" s="855"/>
      <c r="AA68" s="858"/>
      <c r="AB68" s="855"/>
      <c r="AC68" s="855"/>
      <c r="AD68" s="855"/>
    </row>
    <row customHeight="1" ht="9">
      <c r="A69" s="854"/>
      <c r="B69" s="908">
        <v>52</v>
      </c>
      <c r="C69" s="852"/>
      <c r="D69" s="976" t="s">
        <v>2410</v>
      </c>
      <c r="E69" s="852"/>
      <c r="F69" s="852"/>
      <c r="G69" s="852"/>
      <c r="H69" s="900"/>
      <c r="I69" s="1014">
        <f>INDEX(TEMPLATE_NUMBER_POINT_FHD,B69,MATCH(TEMPLATE_SPHERE,TEMPLATE_SPHERE_LIST_FOR_NOTE,0))</f>
        <v>0</v>
      </c>
      <c r="J69" s="1014">
        <f>INDEX(TEMPLATE_DATA_POINT_FHD,B69,MATCH(TEMPLATE_SPHERE,TEMPLATE_SPHERE_LIST_FOR_NOTE,0))</f>
        <v>0</v>
      </c>
      <c r="K69" s="1014">
        <f>INDEX(TEMPLATE_NOTE_POINT_FHD,B69,MATCH(TEMPLATE_SPHERE,TEMPLATE_SPHERE_LIST_FOR_NOTE,0))</f>
        <v>0</v>
      </c>
      <c r="L69" s="853" t="str">
        <f>IF(I69=0,"",I69)</f>
        <v/>
      </c>
      <c r="M69" s="853" t="str">
        <f>IF(J69=0,"",J69)</f>
        <v/>
      </c>
      <c r="N69" s="853" t="str">
        <f>IF(K69=0,"",K69)</f>
        <v/>
      </c>
      <c r="O69" s="966"/>
      <c r="P69" s="966" t="s">
        <v>167</v>
      </c>
      <c r="Q69" s="966"/>
      <c r="R69" s="966"/>
      <c r="S69" s="966"/>
      <c r="T69" s="852"/>
      <c r="U69" s="852" t="s">
        <v>2411</v>
      </c>
      <c r="V69" s="852"/>
      <c r="W69" s="852"/>
      <c r="X69" s="852"/>
      <c r="Y69" s="1009"/>
      <c r="Z69" s="855"/>
      <c r="AA69" s="858"/>
      <c r="AB69" s="855"/>
      <c r="AC69" s="855"/>
      <c r="AD69" s="855"/>
    </row>
    <row customHeight="1" ht="27">
      <c r="A70" s="854"/>
      <c r="B70" s="908">
        <v>53</v>
      </c>
      <c r="C70" s="852"/>
      <c r="D70" s="976"/>
      <c r="E70" s="852" t="s">
        <v>2395</v>
      </c>
      <c r="F70" s="852"/>
      <c r="G70" s="852"/>
      <c r="H70" s="900"/>
      <c r="I70" s="1014">
        <f>INDEX(TEMPLATE_NUMBER_POINT_FHD,B70,MATCH(TEMPLATE_SPHERE,TEMPLATE_SPHERE_LIST_FOR_NOTE,0))</f>
        <v>0</v>
      </c>
      <c r="J70" s="1014">
        <f>INDEX(TEMPLATE_DATA_POINT_FHD,B70,MATCH(TEMPLATE_SPHERE,TEMPLATE_SPHERE_LIST_FOR_NOTE,0))</f>
        <v>0</v>
      </c>
      <c r="K70" s="1014">
        <f>INDEX(TEMPLATE_NOTE_POINT_FHD,B70,MATCH(TEMPLATE_SPHERE,TEMPLATE_SPHERE_LIST_FOR_NOTE,0))</f>
        <v>0</v>
      </c>
      <c r="L70" s="853" t="str">
        <f>IF(I70=0,"",I70)</f>
        <v/>
      </c>
      <c r="M70" s="853" t="str">
        <f>IF(J70=0,"",J70)</f>
        <v/>
      </c>
      <c r="N70" s="853" t="str">
        <f>IF(K70=0,"",K70)</f>
        <v/>
      </c>
      <c r="O70" s="966"/>
      <c r="P70" s="966"/>
      <c r="Q70" s="966" t="s">
        <v>94</v>
      </c>
      <c r="R70" s="966"/>
      <c r="S70" s="966"/>
      <c r="T70" s="852"/>
      <c r="U70" s="852"/>
      <c r="V70" s="852" t="s">
        <v>2412</v>
      </c>
      <c r="W70" s="852"/>
      <c r="X70" s="852"/>
      <c r="Y70" s="1009"/>
      <c r="Z70" s="855"/>
      <c r="AA70" s="858"/>
      <c r="AB70" s="855"/>
      <c r="AC70" s="855"/>
      <c r="AD70" s="855"/>
    </row>
    <row customHeight="1" ht="36">
      <c r="A71" s="854"/>
      <c r="B71" s="908">
        <v>54</v>
      </c>
      <c r="C71" s="852"/>
      <c r="D71" s="976"/>
      <c r="E71" s="852" t="s">
        <v>2397</v>
      </c>
      <c r="F71" s="852"/>
      <c r="G71" s="852"/>
      <c r="H71" s="900"/>
      <c r="I71" s="1014">
        <f>INDEX(TEMPLATE_NUMBER_POINT_FHD,B71,MATCH(TEMPLATE_SPHERE,TEMPLATE_SPHERE_LIST_FOR_NOTE,0))</f>
        <v>0</v>
      </c>
      <c r="J71" s="1014">
        <f>INDEX(TEMPLATE_DATA_POINT_FHD,B71,MATCH(TEMPLATE_SPHERE,TEMPLATE_SPHERE_LIST_FOR_NOTE,0))</f>
        <v>0</v>
      </c>
      <c r="K71" s="1014">
        <f>INDEX(TEMPLATE_NOTE_POINT_FHD,B71,MATCH(TEMPLATE_SPHERE,TEMPLATE_SPHERE_LIST_FOR_NOTE,0))</f>
        <v>0</v>
      </c>
      <c r="L71" s="853" t="str">
        <f>IF(I71=0,"",I71)</f>
        <v/>
      </c>
      <c r="M71" s="853" t="str">
        <f>IF(J71=0,"",J71)</f>
        <v/>
      </c>
      <c r="N71" s="853" t="str">
        <f>IF(K71=0,"",K71)</f>
        <v/>
      </c>
      <c r="O71" s="966"/>
      <c r="P71" s="966"/>
      <c r="Q71" s="966" t="s">
        <v>120</v>
      </c>
      <c r="R71" s="966"/>
      <c r="S71" s="966"/>
      <c r="T71" s="852"/>
      <c r="U71" s="852"/>
      <c r="V71" s="852" t="s">
        <v>2413</v>
      </c>
      <c r="W71" s="852"/>
      <c r="X71" s="852"/>
      <c r="Y71" s="1009"/>
      <c r="Z71" s="855"/>
      <c r="AA71" s="858"/>
      <c r="AB71" s="855"/>
      <c r="AC71" s="855"/>
      <c r="AD71" s="855"/>
    </row>
    <row customHeight="1" ht="27">
      <c r="A72" s="854"/>
      <c r="B72" s="908">
        <v>55</v>
      </c>
      <c r="C72" s="852"/>
      <c r="D72" s="976"/>
      <c r="E72" s="852" t="s">
        <v>2399</v>
      </c>
      <c r="F72" s="852"/>
      <c r="G72" s="852"/>
      <c r="H72" s="900"/>
      <c r="I72" s="1014">
        <f>INDEX(TEMPLATE_NUMBER_POINT_FHD,B72,MATCH(TEMPLATE_SPHERE,TEMPLATE_SPHERE_LIST_FOR_NOTE,0))</f>
        <v>0</v>
      </c>
      <c r="J72" s="1014">
        <f>INDEX(TEMPLATE_DATA_POINT_FHD,B72,MATCH(TEMPLATE_SPHERE,TEMPLATE_SPHERE_LIST_FOR_NOTE,0))</f>
        <v>0</v>
      </c>
      <c r="K72" s="1014">
        <f>INDEX(TEMPLATE_NOTE_POINT_FHD,B72,MATCH(TEMPLATE_SPHERE,TEMPLATE_SPHERE_LIST_FOR_NOTE,0))</f>
        <v>0</v>
      </c>
      <c r="L72" s="853" t="str">
        <f>IF(I72=0,"",I72)</f>
        <v/>
      </c>
      <c r="M72" s="853" t="str">
        <f>IF(J72=0,"",J72)</f>
        <v/>
      </c>
      <c r="N72" s="853" t="str">
        <f>IF(K72=0,"",K72)</f>
        <v/>
      </c>
      <c r="O72" s="966"/>
      <c r="P72" s="966"/>
      <c r="Q72" s="966" t="s">
        <v>165</v>
      </c>
      <c r="R72" s="966"/>
      <c r="S72" s="966"/>
      <c r="T72" s="852"/>
      <c r="U72" s="852"/>
      <c r="V72" s="852" t="s">
        <v>2414</v>
      </c>
      <c r="W72" s="852"/>
      <c r="X72" s="852"/>
      <c r="Y72" s="1009"/>
      <c r="Z72" s="855"/>
      <c r="AA72" s="858"/>
      <c r="AB72" s="855"/>
      <c r="AC72" s="855"/>
      <c r="AD72" s="855"/>
    </row>
    <row customHeight="1" ht="36">
      <c r="A73" s="854"/>
      <c r="B73" s="908">
        <v>56</v>
      </c>
      <c r="C73" s="852"/>
      <c r="D73" s="976"/>
      <c r="E73" s="852" t="s">
        <v>2401</v>
      </c>
      <c r="F73" s="852"/>
      <c r="G73" s="852"/>
      <c r="H73" s="900"/>
      <c r="I73" s="1014">
        <f>INDEX(TEMPLATE_NUMBER_POINT_FHD,B73,MATCH(TEMPLATE_SPHERE,TEMPLATE_SPHERE_LIST_FOR_NOTE,0))</f>
        <v>0</v>
      </c>
      <c r="J73" s="1014">
        <f>INDEX(TEMPLATE_DATA_POINT_FHD,B73,MATCH(TEMPLATE_SPHERE,TEMPLATE_SPHERE_LIST_FOR_NOTE,0))</f>
        <v>0</v>
      </c>
      <c r="K73" s="1014">
        <f>INDEX(TEMPLATE_NOTE_POINT_FHD,B73,MATCH(TEMPLATE_SPHERE,TEMPLATE_SPHERE_LIST_FOR_NOTE,0))</f>
        <v>0</v>
      </c>
      <c r="L73" s="853" t="str">
        <f>IF(I73=0,"",I73)</f>
        <v/>
      </c>
      <c r="M73" s="853" t="str">
        <f>IF(J73=0,"",J73)</f>
        <v/>
      </c>
      <c r="N73" s="853" t="str">
        <f>IF(K73=0,"",K73)</f>
        <v/>
      </c>
      <c r="O73" s="966"/>
      <c r="P73" s="966"/>
      <c r="Q73" s="966" t="s">
        <v>166</v>
      </c>
      <c r="R73" s="966"/>
      <c r="S73" s="966"/>
      <c r="T73" s="852"/>
      <c r="U73" s="852"/>
      <c r="V73" s="852" t="s">
        <v>2415</v>
      </c>
      <c r="W73" s="852"/>
      <c r="X73" s="852"/>
      <c r="Y73" s="1009"/>
      <c r="Z73" s="855"/>
      <c r="AA73" s="858"/>
      <c r="AB73" s="855"/>
      <c r="AC73" s="855"/>
      <c r="AD73" s="855"/>
    </row>
    <row customHeight="1" ht="18">
      <c r="A74" s="854"/>
      <c r="B74" s="908">
        <v>57</v>
      </c>
      <c r="C74" s="852"/>
      <c r="D74" s="976"/>
      <c r="E74" s="852" t="s">
        <v>2410</v>
      </c>
      <c r="F74" s="852"/>
      <c r="G74" s="852"/>
      <c r="H74" s="900"/>
      <c r="I74" s="1014">
        <f>INDEX(TEMPLATE_NUMBER_POINT_FHD,B74,MATCH(TEMPLATE_SPHERE,TEMPLATE_SPHERE_LIST_FOR_NOTE,0))</f>
        <v>0</v>
      </c>
      <c r="J74" s="1014">
        <f>INDEX(TEMPLATE_DATA_POINT_FHD,B74,MATCH(TEMPLATE_SPHERE,TEMPLATE_SPHERE_LIST_FOR_NOTE,0))</f>
        <v>0</v>
      </c>
      <c r="K74" s="1014">
        <f>INDEX(TEMPLATE_NOTE_POINT_FHD,B74,MATCH(TEMPLATE_SPHERE,TEMPLATE_SPHERE_LIST_FOR_NOTE,0))</f>
        <v>0</v>
      </c>
      <c r="L74" s="853" t="str">
        <f>IF(I74=0,"",I74)</f>
        <v/>
      </c>
      <c r="M74" s="853" t="str">
        <f>IF(J74=0,"",J74)</f>
        <v/>
      </c>
      <c r="N74" s="853" t="str">
        <f>IF(K74=0,"",K74)</f>
        <v/>
      </c>
      <c r="O74" s="966"/>
      <c r="P74" s="966"/>
      <c r="Q74" s="966" t="s">
        <v>167</v>
      </c>
      <c r="R74" s="966"/>
      <c r="S74" s="966"/>
      <c r="T74" s="852"/>
      <c r="U74" s="852"/>
      <c r="V74" s="852" t="s">
        <v>2416</v>
      </c>
      <c r="W74" s="852"/>
      <c r="X74" s="852"/>
      <c r="Y74" s="1009"/>
      <c r="Z74" s="855"/>
      <c r="AA74" s="858"/>
      <c r="AB74" s="855"/>
      <c r="AC74" s="855"/>
      <c r="AD74" s="855"/>
    </row>
    <row customHeight="1" ht="18">
      <c r="A75" s="854"/>
      <c r="B75" s="908">
        <v>58</v>
      </c>
      <c r="C75" s="852"/>
      <c r="D75" s="976"/>
      <c r="E75" s="852"/>
      <c r="F75" s="852" t="s">
        <v>2395</v>
      </c>
      <c r="G75" s="852"/>
      <c r="H75" s="900"/>
      <c r="I75" s="1014">
        <f>INDEX(TEMPLATE_NUMBER_POINT_FHD,B75,MATCH(TEMPLATE_SPHERE,TEMPLATE_SPHERE_LIST_FOR_NOTE,0))</f>
        <v>0</v>
      </c>
      <c r="J75" s="1014">
        <f>INDEX(TEMPLATE_DATA_POINT_FHD,B75,MATCH(TEMPLATE_SPHERE,TEMPLATE_SPHERE_LIST_FOR_NOTE,0))</f>
        <v>0</v>
      </c>
      <c r="K75" s="1014">
        <f>INDEX(TEMPLATE_NOTE_POINT_FHD,B75,MATCH(TEMPLATE_SPHERE,TEMPLATE_SPHERE_LIST_FOR_NOTE,0))</f>
        <v>0</v>
      </c>
      <c r="L75" s="853" t="str">
        <f>IF(I75=0,"",I75)</f>
        <v/>
      </c>
      <c r="M75" s="853" t="str">
        <f>IF(J75=0,"",J75)</f>
        <v/>
      </c>
      <c r="N75" s="853" t="str">
        <f>IF(K75=0,"",K75)</f>
        <v/>
      </c>
      <c r="O75" s="966"/>
      <c r="P75" s="966"/>
      <c r="Q75" s="966"/>
      <c r="R75" s="966" t="s">
        <v>94</v>
      </c>
      <c r="S75" s="966"/>
      <c r="T75" s="852"/>
      <c r="U75" s="852"/>
      <c r="V75" s="852"/>
      <c r="W75" s="852" t="s">
        <v>2417</v>
      </c>
      <c r="X75" s="852"/>
      <c r="Y75" s="1009"/>
      <c r="Z75" s="855"/>
      <c r="AA75" s="858"/>
      <c r="AB75" s="855"/>
      <c r="AC75" s="855"/>
      <c r="AD75" s="855"/>
    </row>
    <row customHeight="1" ht="36">
      <c r="A76" s="854"/>
      <c r="B76" s="908">
        <v>59</v>
      </c>
      <c r="C76" s="852"/>
      <c r="D76" s="976"/>
      <c r="E76" s="852"/>
      <c r="F76" s="852" t="s">
        <v>2397</v>
      </c>
      <c r="G76" s="852"/>
      <c r="H76" s="900"/>
      <c r="I76" s="1014">
        <f>INDEX(TEMPLATE_NUMBER_POINT_FHD,B76,MATCH(TEMPLATE_SPHERE,TEMPLATE_SPHERE_LIST_FOR_NOTE,0))</f>
        <v>0</v>
      </c>
      <c r="J76" s="1014">
        <f>INDEX(TEMPLATE_DATA_POINT_FHD,B76,MATCH(TEMPLATE_SPHERE,TEMPLATE_SPHERE_LIST_FOR_NOTE,0))</f>
        <v>0</v>
      </c>
      <c r="K76" s="1014">
        <f>INDEX(TEMPLATE_NOTE_POINT_FHD,B76,MATCH(TEMPLATE_SPHERE,TEMPLATE_SPHERE_LIST_FOR_NOTE,0))</f>
        <v>0</v>
      </c>
      <c r="L76" s="853" t="str">
        <f>IF(I76=0,"",I76)</f>
        <v/>
      </c>
      <c r="M76" s="853" t="str">
        <f>IF(J76=0,"",J76)</f>
        <v/>
      </c>
      <c r="N76" s="853" t="str">
        <f>IF(K76=0,"",K76)</f>
        <v/>
      </c>
      <c r="O76" s="966"/>
      <c r="P76" s="966"/>
      <c r="Q76" s="966"/>
      <c r="R76" s="966" t="s">
        <v>120</v>
      </c>
      <c r="S76" s="966"/>
      <c r="T76" s="852"/>
      <c r="U76" s="852"/>
      <c r="V76" s="852"/>
      <c r="W76" s="852" t="s">
        <v>2418</v>
      </c>
      <c r="X76" s="852"/>
      <c r="Y76" s="1009"/>
      <c r="Z76" s="855"/>
      <c r="AA76" s="858"/>
      <c r="AB76" s="855"/>
      <c r="AC76" s="855"/>
      <c r="AD76" s="855"/>
    </row>
    <row customHeight="1" ht="18">
      <c r="A77" s="854"/>
      <c r="B77" s="908">
        <v>60</v>
      </c>
      <c r="C77" s="852"/>
      <c r="D77" s="976"/>
      <c r="E77" s="852"/>
      <c r="F77" s="852" t="s">
        <v>2399</v>
      </c>
      <c r="G77" s="852"/>
      <c r="H77" s="900"/>
      <c r="I77" s="1014">
        <f>INDEX(TEMPLATE_NUMBER_POINT_FHD,B77,MATCH(TEMPLATE_SPHERE,TEMPLATE_SPHERE_LIST_FOR_NOTE,0))</f>
        <v>0</v>
      </c>
      <c r="J77" s="1014">
        <f>INDEX(TEMPLATE_DATA_POINT_FHD,B77,MATCH(TEMPLATE_SPHERE,TEMPLATE_SPHERE_LIST_FOR_NOTE,0))</f>
        <v>0</v>
      </c>
      <c r="K77" s="1014">
        <f>INDEX(TEMPLATE_NOTE_POINT_FHD,B77,MATCH(TEMPLATE_SPHERE,TEMPLATE_SPHERE_LIST_FOR_NOTE,0))</f>
        <v>0</v>
      </c>
      <c r="L77" s="853" t="str">
        <f>IF(I77=0,"",I77)</f>
        <v/>
      </c>
      <c r="M77" s="853" t="str">
        <f>IF(J77=0,"",J77)</f>
        <v/>
      </c>
      <c r="N77" s="853" t="str">
        <f>IF(K77=0,"",K77)</f>
        <v/>
      </c>
      <c r="O77" s="966"/>
      <c r="P77" s="966"/>
      <c r="Q77" s="966"/>
      <c r="R77" s="966" t="s">
        <v>165</v>
      </c>
      <c r="S77" s="966"/>
      <c r="T77" s="852"/>
      <c r="U77" s="852"/>
      <c r="V77" s="852"/>
      <c r="W77" s="852" t="s">
        <v>2419</v>
      </c>
      <c r="X77" s="852"/>
      <c r="Y77" s="1009"/>
      <c r="Z77" s="855"/>
      <c r="AA77" s="858"/>
      <c r="AB77" s="855"/>
      <c r="AC77" s="855"/>
      <c r="AD77" s="855"/>
    </row>
    <row customHeight="1" ht="72">
      <c r="A78" s="854"/>
      <c r="B78" s="908">
        <v>61</v>
      </c>
      <c r="C78" s="852" t="s">
        <v>2395</v>
      </c>
      <c r="D78" s="976"/>
      <c r="E78" s="852"/>
      <c r="F78" s="852"/>
      <c r="G78" s="852"/>
      <c r="H78" s="900"/>
      <c r="I78" s="1014" t="str">
        <f>INDEX(TEMPLATE_NUMBER_POINT_FHD,B78,MATCH(TEMPLATE_SPHERE,TEMPLATE_SPHERE_LIST_FOR_NOTE,0))</f>
        <v>7</v>
      </c>
      <c r="J78" s="1014"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014"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853" t="str">
        <f>IF(I78=0,"",I78)</f>
        <v>7</v>
      </c>
      <c r="M78" s="853"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853"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966" t="s">
        <v>94</v>
      </c>
      <c r="P78" s="966"/>
      <c r="Q78" s="966"/>
      <c r="R78" s="966"/>
      <c r="S78" s="966"/>
      <c r="T78" s="852" t="s">
        <v>657</v>
      </c>
      <c r="U78" s="852"/>
      <c r="V78" s="852"/>
      <c r="W78" s="852"/>
      <c r="X78" s="852"/>
      <c r="Y78" s="1009"/>
      <c r="Z78" s="855" t="s">
        <v>2420</v>
      </c>
      <c r="AA78" s="858"/>
      <c r="AB78" s="855"/>
      <c r="AC78" s="855"/>
      <c r="AD78" s="855"/>
    </row>
    <row customHeight="1" ht="36">
      <c r="A79" s="854"/>
      <c r="B79" s="908">
        <v>62</v>
      </c>
      <c r="C79" s="852" t="s">
        <v>2397</v>
      </c>
      <c r="D79" s="976"/>
      <c r="E79" s="852"/>
      <c r="F79" s="852"/>
      <c r="G79" s="852"/>
      <c r="H79" s="900"/>
      <c r="I79" s="1014" t="str">
        <f>INDEX(TEMPLATE_NUMBER_POINT_FHD,B79,MATCH(TEMPLATE_SPHERE,TEMPLATE_SPHERE_LIST_FOR_NOTE,0))</f>
        <v>8</v>
      </c>
      <c r="J79" s="1014"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014"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853" t="str">
        <f>IF(I79=0,"",I79)</f>
        <v>8</v>
      </c>
      <c r="M79" s="853" t="str">
        <f>IF(J79=0,"",J79)</f>
        <v>Тепловая нагрузка по договорам, заключенным в рамках осуществления регулируемых видов деятельности</v>
      </c>
      <c r="N79" s="853" t="str">
        <f>IF(K79=0,"",K79)</f>
        <v>Регулируемыми организациями указывается информация по договорам, заключенным в рамках осуществления регулируемых видов деятельности</v>
      </c>
      <c r="O79" s="966" t="s">
        <v>120</v>
      </c>
      <c r="P79" s="966"/>
      <c r="Q79" s="966"/>
      <c r="R79" s="966"/>
      <c r="S79" s="966"/>
      <c r="T79" s="852" t="s">
        <v>2421</v>
      </c>
      <c r="U79" s="852"/>
      <c r="V79" s="852"/>
      <c r="W79" s="852"/>
      <c r="X79" s="852"/>
      <c r="Y79" s="1009"/>
      <c r="Z79" s="855" t="s">
        <v>2422</v>
      </c>
      <c r="AA79" s="858"/>
      <c r="AB79" s="855"/>
      <c r="AC79" s="855"/>
      <c r="AD79" s="855"/>
    </row>
    <row customHeight="1" ht="45">
      <c r="A80" s="854"/>
      <c r="B80" s="908">
        <v>63</v>
      </c>
      <c r="C80" s="852" t="s">
        <v>2399</v>
      </c>
      <c r="D80" s="976"/>
      <c r="E80" s="852"/>
      <c r="F80" s="852"/>
      <c r="G80" s="852"/>
      <c r="H80" s="900"/>
      <c r="I80" s="1014" t="str">
        <f>INDEX(TEMPLATE_NUMBER_POINT_FHD,B80,MATCH(TEMPLATE_SPHERE,TEMPLATE_SPHERE_LIST_FOR_NOTE,0))</f>
        <v>9</v>
      </c>
      <c r="J80" s="1014"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014"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853" t="str">
        <f>IF(I80=0,"",I80)</f>
        <v>9</v>
      </c>
      <c r="M80" s="853" t="str">
        <f>IF(J80=0,"",J80)</f>
        <v>Объем вырабатываемой регулируемой организацией тепловой энергии в рамках осуществления регулируемых видов деятельности</v>
      </c>
      <c r="N80" s="853"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966" t="s">
        <v>165</v>
      </c>
      <c r="P80" s="966"/>
      <c r="Q80" s="966"/>
      <c r="R80" s="966"/>
      <c r="S80" s="966"/>
      <c r="T80" s="852" t="s">
        <v>2423</v>
      </c>
      <c r="U80" s="852"/>
      <c r="V80" s="852"/>
      <c r="W80" s="852"/>
      <c r="X80" s="852"/>
      <c r="Y80" s="1009"/>
      <c r="Z80" s="855" t="s">
        <v>2424</v>
      </c>
      <c r="AA80" s="858"/>
      <c r="AB80" s="855"/>
      <c r="AC80" s="855"/>
      <c r="AD80" s="855"/>
    </row>
    <row customHeight="1" ht="36">
      <c r="A81" s="854"/>
      <c r="B81" s="908">
        <v>64</v>
      </c>
      <c r="C81" s="852" t="s">
        <v>2401</v>
      </c>
      <c r="D81" s="976"/>
      <c r="E81" s="852"/>
      <c r="F81" s="852"/>
      <c r="G81" s="852"/>
      <c r="H81" s="900"/>
      <c r="I81" s="1014" t="str">
        <f>INDEX(TEMPLATE_NUMBER_POINT_FHD,B81,MATCH(TEMPLATE_SPHERE,TEMPLATE_SPHERE_LIST_FOR_NOTE,0))</f>
        <v>9.1</v>
      </c>
      <c r="J81" s="1014"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014" t="str">
        <f>INDEX(TEMPLATE_NOTE_POINT_FHD,B81,MATCH(TEMPLATE_SPHERE,TEMPLATE_SPHERE_LIST_FOR_NOTE,0))</f>
        <v>Информация указывается только едиными теплоснабжающими организациями.</v>
      </c>
      <c r="L81" s="853" t="str">
        <f>IF(I81=0,"",I81)</f>
        <v>9.1</v>
      </c>
      <c r="M81" s="853" t="str">
        <f>IF(J81=0,"",J81)</f>
        <v>Объем приобретаемой регулируемой организацией тепловой энергии в рамках осуществления регулируемых видов деятельности</v>
      </c>
      <c r="N81" s="853" t="str">
        <f>IF(K81=0,"",K81)</f>
        <v>Информация указывается только едиными теплоснабжающими организациями.</v>
      </c>
      <c r="O81" s="966" t="s">
        <v>2310</v>
      </c>
      <c r="P81" s="966"/>
      <c r="Q81" s="966"/>
      <c r="R81" s="966"/>
      <c r="S81" s="966"/>
      <c r="T81" s="852" t="s">
        <v>2425</v>
      </c>
      <c r="U81" s="852"/>
      <c r="V81" s="852"/>
      <c r="W81" s="852"/>
      <c r="X81" s="852"/>
      <c r="Y81" s="1009"/>
      <c r="Z81" s="855" t="s">
        <v>2426</v>
      </c>
      <c r="AA81" s="858"/>
      <c r="AB81" s="855"/>
      <c r="AC81" s="855"/>
      <c r="AD81" s="855"/>
    </row>
    <row customHeight="1" ht="90">
      <c r="A82" s="854"/>
      <c r="B82" s="908">
        <v>65</v>
      </c>
      <c r="C82" s="852" t="s">
        <v>2410</v>
      </c>
      <c r="D82" s="976"/>
      <c r="E82" s="852"/>
      <c r="F82" s="852"/>
      <c r="G82" s="852"/>
      <c r="H82" s="900"/>
      <c r="I82" s="1014" t="str">
        <f>INDEX(TEMPLATE_NUMBER_POINT_FHD,B82,MATCH(TEMPLATE_SPHERE,TEMPLATE_SPHERE_LIST_FOR_NOTE,0))</f>
        <v>10</v>
      </c>
      <c r="J82" s="1014"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014"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853" t="str">
        <f>IF(I82=0,"",I82)</f>
        <v>10</v>
      </c>
      <c r="M82" s="853"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853"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966" t="s">
        <v>166</v>
      </c>
      <c r="P82" s="966"/>
      <c r="Q82" s="966"/>
      <c r="R82" s="966"/>
      <c r="S82" s="966"/>
      <c r="T82" s="852" t="s">
        <v>2427</v>
      </c>
      <c r="U82" s="852"/>
      <c r="V82" s="852"/>
      <c r="W82" s="852"/>
      <c r="X82" s="852"/>
      <c r="Y82" s="1009"/>
      <c r="Z82" s="855" t="s">
        <v>2428</v>
      </c>
      <c r="AA82" s="858"/>
      <c r="AB82" s="855"/>
      <c r="AC82" s="855"/>
      <c r="AD82" s="855"/>
    </row>
    <row customHeight="1" ht="9">
      <c r="A83" s="854"/>
      <c r="B83" s="908">
        <v>66</v>
      </c>
      <c r="C83" s="852"/>
      <c r="D83" s="976"/>
      <c r="E83" s="852"/>
      <c r="F83" s="852"/>
      <c r="G83" s="852"/>
      <c r="H83" s="900"/>
      <c r="I83" s="1014" t="str">
        <f>INDEX(TEMPLATE_NUMBER_POINT_FHD,B83,MATCH(TEMPLATE_SPHERE,TEMPLATE_SPHERE_LIST_FOR_NOTE,0))</f>
        <v>10.1</v>
      </c>
      <c r="J83" s="1014" t="str">
        <f>INDEX(TEMPLATE_DATA_POINT_FHD,B83,MATCH(TEMPLATE_SPHERE,TEMPLATE_SPHERE_LIST_FOR_NOTE,0))</f>
        <v>По приборам учёта </v>
      </c>
      <c r="K83" s="1014">
        <f>INDEX(TEMPLATE_NOTE_POINT_FHD,B83,MATCH(TEMPLATE_SPHERE,TEMPLATE_SPHERE_LIST_FOR_NOTE,0))</f>
        <v>0</v>
      </c>
      <c r="L83" s="853" t="str">
        <f>IF(I83=0,"",I83)</f>
        <v>10.1</v>
      </c>
      <c r="M83" s="853" t="str">
        <f>IF(J83=0,"",J83)</f>
        <v>По приборам учёта </v>
      </c>
      <c r="N83" s="853" t="str">
        <f>IF(K83=0,"",K83)</f>
        <v/>
      </c>
      <c r="O83" s="966" t="s">
        <v>2319</v>
      </c>
      <c r="P83" s="966"/>
      <c r="Q83" s="966"/>
      <c r="R83" s="966"/>
      <c r="S83" s="966"/>
      <c r="T83" s="852" t="s">
        <v>2429</v>
      </c>
      <c r="U83" s="852"/>
      <c r="V83" s="852"/>
      <c r="W83" s="852"/>
      <c r="X83" s="852"/>
      <c r="Y83" s="1009"/>
      <c r="Z83" s="855"/>
      <c r="AA83" s="858"/>
      <c r="AB83" s="855"/>
      <c r="AC83" s="855"/>
      <c r="AD83" s="855"/>
    </row>
    <row customHeight="1" ht="54">
      <c r="A84" s="854"/>
      <c r="B84" s="908">
        <v>67</v>
      </c>
      <c r="C84" s="852"/>
      <c r="D84" s="976"/>
      <c r="E84" s="852"/>
      <c r="F84" s="852"/>
      <c r="G84" s="852"/>
      <c r="H84" s="900"/>
      <c r="I84" s="1014" t="str">
        <f>INDEX(TEMPLATE_NUMBER_POINT_FHD,B84,MATCH(TEMPLATE_SPHERE,TEMPLATE_SPHERE_LIST_FOR_NOTE,0))</f>
        <v>10.1.1</v>
      </c>
      <c r="J84" s="1014"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014">
        <f>INDEX(TEMPLATE_NOTE_POINT_FHD,B84,MATCH(TEMPLATE_SPHERE,TEMPLATE_SPHERE_LIST_FOR_NOTE,0))</f>
        <v>0</v>
      </c>
      <c r="L84" s="853" t="str">
        <f>IF(I84=0,"",I84)</f>
        <v>10.1.1</v>
      </c>
      <c r="M84" s="853"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853" t="str">
        <f>IF(K84=0,"",K84)</f>
        <v/>
      </c>
      <c r="O84" s="966" t="s">
        <v>2430</v>
      </c>
      <c r="P84" s="966"/>
      <c r="Q84" s="966"/>
      <c r="R84" s="966"/>
      <c r="S84" s="966"/>
      <c r="T84" s="852" t="s">
        <v>2431</v>
      </c>
      <c r="U84" s="852"/>
      <c r="V84" s="852"/>
      <c r="W84" s="852"/>
      <c r="X84" s="852"/>
      <c r="Y84" s="1009"/>
      <c r="Z84" s="855"/>
      <c r="AA84" s="858"/>
      <c r="AB84" s="855"/>
      <c r="AC84" s="855"/>
      <c r="AD84" s="855"/>
    </row>
    <row customHeight="1" ht="9">
      <c r="A85" s="854"/>
      <c r="B85" s="908">
        <v>68</v>
      </c>
      <c r="C85" s="852"/>
      <c r="D85" s="976"/>
      <c r="E85" s="852"/>
      <c r="F85" s="852"/>
      <c r="G85" s="852"/>
      <c r="H85" s="900"/>
      <c r="I85" s="1014" t="str">
        <f>INDEX(TEMPLATE_NUMBER_POINT_FHD,B85,MATCH(TEMPLATE_SPHERE,TEMPLATE_SPHERE_LIST_FOR_NOTE,0))</f>
        <v>10.2</v>
      </c>
      <c r="J85" s="1014" t="str">
        <f>INDEX(TEMPLATE_DATA_POINT_FHD,B85,MATCH(TEMPLATE_SPHERE,TEMPLATE_SPHERE_LIST_FOR_NOTE,0))</f>
        <v>Расчётным путём</v>
      </c>
      <c r="K85" s="1014">
        <f>INDEX(TEMPLATE_NOTE_POINT_FHD,B85,MATCH(TEMPLATE_SPHERE,TEMPLATE_SPHERE_LIST_FOR_NOTE,0))</f>
        <v>0</v>
      </c>
      <c r="L85" s="853" t="str">
        <f>IF(I85=0,"",I85)</f>
        <v>10.2</v>
      </c>
      <c r="M85" s="853" t="str">
        <f>IF(J85=0,"",J85)</f>
        <v>Расчётным путём</v>
      </c>
      <c r="N85" s="853" t="str">
        <f>IF(K85=0,"",K85)</f>
        <v/>
      </c>
      <c r="O85" s="966" t="s">
        <v>2323</v>
      </c>
      <c r="P85" s="966"/>
      <c r="Q85" s="966"/>
      <c r="R85" s="966"/>
      <c r="S85" s="966"/>
      <c r="T85" s="852" t="s">
        <v>2432</v>
      </c>
      <c r="U85" s="852"/>
      <c r="V85" s="852"/>
      <c r="W85" s="852"/>
      <c r="X85" s="852"/>
      <c r="Y85" s="1009"/>
      <c r="Z85" s="855"/>
      <c r="AA85" s="858"/>
      <c r="AB85" s="855"/>
      <c r="AC85" s="855"/>
      <c r="AD85" s="855"/>
    </row>
    <row customHeight="1" ht="27">
      <c r="A86" s="854"/>
      <c r="B86" s="908">
        <v>69</v>
      </c>
      <c r="C86" s="852"/>
      <c r="D86" s="976"/>
      <c r="E86" s="852"/>
      <c r="F86" s="852"/>
      <c r="G86" s="852"/>
      <c r="H86" s="900"/>
      <c r="I86" s="1014" t="str">
        <f>INDEX(TEMPLATE_NUMBER_POINT_FHD,B86,MATCH(TEMPLATE_SPHERE,TEMPLATE_SPHERE_LIST_FOR_NOTE,0))</f>
        <v>10.3</v>
      </c>
      <c r="J86" s="1014" t="str">
        <f>INDEX(TEMPLATE_DATA_POINT_FHD,B86,MATCH(TEMPLATE_SPHERE,TEMPLATE_SPHERE_LIST_FOR_NOTE,0))</f>
        <v>По нормативам потребления коммунальных услуг и нормативам потребления коммунальных ресурсов</v>
      </c>
      <c r="K86" s="1014">
        <f>INDEX(TEMPLATE_NOTE_POINT_FHD,B86,MATCH(TEMPLATE_SPHERE,TEMPLATE_SPHERE_LIST_FOR_NOTE,0))</f>
        <v>0</v>
      </c>
      <c r="L86" s="853" t="str">
        <f>IF(I86=0,"",I86)</f>
        <v>10.3</v>
      </c>
      <c r="M86" s="853" t="str">
        <f>IF(J86=0,"",J86)</f>
        <v>По нормативам потребления коммунальных услуг и нормативам потребления коммунальных ресурсов</v>
      </c>
      <c r="N86" s="853" t="str">
        <f>IF(K86=0,"",K86)</f>
        <v/>
      </c>
      <c r="O86" s="966" t="s">
        <v>2433</v>
      </c>
      <c r="P86" s="966"/>
      <c r="Q86" s="966"/>
      <c r="R86" s="966"/>
      <c r="S86" s="966"/>
      <c r="T86" s="852" t="s">
        <v>2434</v>
      </c>
      <c r="U86" s="852"/>
      <c r="V86" s="852"/>
      <c r="W86" s="852"/>
      <c r="X86" s="852"/>
      <c r="Y86" s="1009"/>
      <c r="Z86" s="855"/>
      <c r="AA86" s="858"/>
      <c r="AB86" s="855"/>
      <c r="AC86" s="855"/>
      <c r="AD86" s="855"/>
    </row>
    <row customHeight="1" ht="36">
      <c r="A87" s="854"/>
      <c r="B87" s="908">
        <v>70</v>
      </c>
      <c r="C87" s="852" t="s">
        <v>2435</v>
      </c>
      <c r="D87" s="976"/>
      <c r="E87" s="852"/>
      <c r="F87" s="852"/>
      <c r="G87" s="852"/>
      <c r="H87" s="900"/>
      <c r="I87" s="1014" t="str">
        <f>INDEX(TEMPLATE_NUMBER_POINT_FHD,B87,MATCH(TEMPLATE_SPHERE,TEMPLATE_SPHERE_LIST_FOR_NOTE,0))</f>
        <v>11</v>
      </c>
      <c r="J87" s="1014"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014">
        <f>INDEX(TEMPLATE_NOTE_POINT_FHD,B87,MATCH(TEMPLATE_SPHERE,TEMPLATE_SPHERE_LIST_FOR_NOTE,0))</f>
        <v>0</v>
      </c>
      <c r="L87" s="853" t="str">
        <f>IF(I87=0,"",I87)</f>
        <v>11</v>
      </c>
      <c r="M87" s="853" t="str">
        <f>IF(J87=0,"",J87)</f>
        <v>Нормативы технологических потерь при передаче тепловой энергии, теплоносителя по тепловым сетям, утвержденные уполномоченным органом</v>
      </c>
      <c r="N87" s="853" t="str">
        <f>IF(K87=0,"",K87)</f>
        <v/>
      </c>
      <c r="O87" s="966" t="s">
        <v>167</v>
      </c>
      <c r="P87" s="966"/>
      <c r="Q87" s="966"/>
      <c r="R87" s="966"/>
      <c r="S87" s="966"/>
      <c r="T87" s="852" t="s">
        <v>2436</v>
      </c>
      <c r="U87" s="852"/>
      <c r="V87" s="852"/>
      <c r="W87" s="852"/>
      <c r="X87" s="852"/>
      <c r="Y87" s="1009"/>
      <c r="Z87" s="855"/>
      <c r="AA87" s="858"/>
      <c r="AB87" s="855"/>
      <c r="AC87" s="855"/>
      <c r="AD87" s="855"/>
    </row>
    <row customHeight="1" ht="18">
      <c r="A88" s="854"/>
      <c r="B88" s="908">
        <v>71</v>
      </c>
      <c r="C88" s="852" t="s">
        <v>2437</v>
      </c>
      <c r="D88" s="976"/>
      <c r="E88" s="852"/>
      <c r="F88" s="852"/>
      <c r="G88" s="852"/>
      <c r="H88" s="900"/>
      <c r="I88" s="1014" t="str">
        <f>INDEX(TEMPLATE_NUMBER_POINT_FHD,B88,MATCH(TEMPLATE_SPHERE,TEMPLATE_SPHERE_LIST_FOR_NOTE,0))</f>
        <v>12</v>
      </c>
      <c r="J88" s="1014" t="str">
        <f>INDEX(TEMPLATE_DATA_POINT_FHD,B88,MATCH(TEMPLATE_SPHERE,TEMPLATE_SPHERE_LIST_FOR_NOTE,0))</f>
        <v>Фактический объем потерь при передаче тепловой энергии</v>
      </c>
      <c r="K88" s="1014">
        <f>INDEX(TEMPLATE_NOTE_POINT_FHD,B88,MATCH(TEMPLATE_SPHERE,TEMPLATE_SPHERE_LIST_FOR_NOTE,0))</f>
        <v>0</v>
      </c>
      <c r="L88" s="853" t="str">
        <f>IF(I88=0,"",I88)</f>
        <v>12</v>
      </c>
      <c r="M88" s="853" t="str">
        <f>IF(J88=0,"",J88)</f>
        <v>Фактический объем потерь при передаче тепловой энергии</v>
      </c>
      <c r="N88" s="853" t="str">
        <f>IF(K88=0,"",K88)</f>
        <v/>
      </c>
      <c r="O88" s="966" t="s">
        <v>168</v>
      </c>
      <c r="P88" s="966"/>
      <c r="Q88" s="966"/>
      <c r="R88" s="966"/>
      <c r="S88" s="966"/>
      <c r="T88" s="852" t="s">
        <v>689</v>
      </c>
      <c r="U88" s="852"/>
      <c r="V88" s="852"/>
      <c r="W88" s="852"/>
      <c r="X88" s="852"/>
      <c r="Y88" s="1009"/>
      <c r="Z88" s="855"/>
      <c r="AA88" s="858"/>
      <c r="AB88" s="855"/>
      <c r="AC88" s="855"/>
      <c r="AD88" s="855"/>
    </row>
    <row customHeight="1" ht="18">
      <c r="A89" s="854"/>
      <c r="B89" s="908">
        <v>72</v>
      </c>
      <c r="C89" s="852" t="s">
        <v>2438</v>
      </c>
      <c r="D89" s="976" t="s">
        <v>2435</v>
      </c>
      <c r="E89" s="852" t="s">
        <v>2435</v>
      </c>
      <c r="F89" s="852" t="s">
        <v>2401</v>
      </c>
      <c r="G89" s="852"/>
      <c r="H89" s="900"/>
      <c r="I89" s="1014" t="str">
        <f>INDEX(TEMPLATE_NUMBER_POINT_FHD,B89,MATCH(TEMPLATE_SPHERE,TEMPLATE_SPHERE_LIST_FOR_NOTE,0))</f>
        <v>13</v>
      </c>
      <c r="J89" s="1014" t="str">
        <f>INDEX(TEMPLATE_DATA_POINT_FHD,B89,MATCH(TEMPLATE_SPHERE,TEMPLATE_SPHERE_LIST_FOR_NOTE,0))</f>
        <v>Среднесписочная численность основного производственного персонала</v>
      </c>
      <c r="K89" s="1014">
        <f>INDEX(TEMPLATE_NOTE_POINT_FHD,B89,MATCH(TEMPLATE_SPHERE,TEMPLATE_SPHERE_LIST_FOR_NOTE,0))</f>
        <v>0</v>
      </c>
      <c r="L89" s="853" t="str">
        <f>IF(I89=0,"",I89)</f>
        <v>13</v>
      </c>
      <c r="M89" s="853" t="str">
        <f>IF(J89=0,"",J89)</f>
        <v>Среднесписочная численность основного производственного персонала</v>
      </c>
      <c r="N89" s="853" t="str">
        <f>IF(K89=0,"",K89)</f>
        <v/>
      </c>
      <c r="O89" s="966" t="s">
        <v>169</v>
      </c>
      <c r="P89" s="966" t="s">
        <v>168</v>
      </c>
      <c r="Q89" s="966" t="s">
        <v>168</v>
      </c>
      <c r="R89" s="966" t="s">
        <v>166</v>
      </c>
      <c r="S89" s="966"/>
      <c r="T89" s="852" t="s">
        <v>697</v>
      </c>
      <c r="U89" s="852" t="s">
        <v>697</v>
      </c>
      <c r="V89" s="852" t="s">
        <v>697</v>
      </c>
      <c r="W89" s="852" t="s">
        <v>697</v>
      </c>
      <c r="X89" s="852"/>
      <c r="Y89" s="1009"/>
      <c r="Z89" s="855"/>
      <c r="AA89" s="858"/>
      <c r="AB89" s="855"/>
      <c r="AC89" s="855"/>
      <c r="AD89" s="855"/>
    </row>
    <row customHeight="1" ht="27">
      <c r="A90" s="854"/>
      <c r="B90" s="908">
        <v>73</v>
      </c>
      <c r="C90" s="852" t="s">
        <v>2439</v>
      </c>
      <c r="D90" s="976"/>
      <c r="E90" s="852"/>
      <c r="F90" s="852"/>
      <c r="G90" s="852"/>
      <c r="H90" s="900"/>
      <c r="I90" s="1014" t="str">
        <f>INDEX(TEMPLATE_NUMBER_POINT_FHD,B90,MATCH(TEMPLATE_SPHERE,TEMPLATE_SPHERE_LIST_FOR_NOTE,0))</f>
        <v>14</v>
      </c>
      <c r="J90" s="1014" t="str">
        <f>INDEX(TEMPLATE_DATA_POINT_FHD,B90,MATCH(TEMPLATE_SPHERE,TEMPLATE_SPHERE_LIST_FOR_NOTE,0))</f>
        <v>Среднесписочная численность административно-управленческого персонала</v>
      </c>
      <c r="K90" s="1014">
        <f>INDEX(TEMPLATE_NOTE_POINT_FHD,B90,MATCH(TEMPLATE_SPHERE,TEMPLATE_SPHERE_LIST_FOR_NOTE,0))</f>
        <v>0</v>
      </c>
      <c r="L90" s="853" t="str">
        <f>IF(I90=0,"",I90)</f>
        <v>14</v>
      </c>
      <c r="M90" s="853" t="str">
        <f>IF(J90=0,"",J90)</f>
        <v>Среднесписочная численность административно-управленческого персонала</v>
      </c>
      <c r="N90" s="853" t="str">
        <f>IF(K90=0,"",K90)</f>
        <v/>
      </c>
      <c r="O90" s="966" t="s">
        <v>170</v>
      </c>
      <c r="P90" s="966"/>
      <c r="Q90" s="966"/>
      <c r="R90" s="966"/>
      <c r="S90" s="966"/>
      <c r="T90" s="852" t="s">
        <v>699</v>
      </c>
      <c r="U90" s="852"/>
      <c r="V90" s="852"/>
      <c r="W90" s="852"/>
      <c r="X90" s="852"/>
      <c r="Y90" s="1009"/>
      <c r="Z90" s="855"/>
      <c r="AA90" s="858"/>
      <c r="AB90" s="855"/>
      <c r="AC90" s="855"/>
      <c r="AD90" s="855"/>
    </row>
    <row customHeight="1" ht="18">
      <c r="A91" s="854"/>
      <c r="B91" s="908">
        <v>74</v>
      </c>
      <c r="C91" s="852"/>
      <c r="D91" s="976" t="s">
        <v>2437</v>
      </c>
      <c r="E91" s="852" t="s">
        <v>2437</v>
      </c>
      <c r="F91" s="852"/>
      <c r="G91" s="852"/>
      <c r="H91" s="900"/>
      <c r="I91" s="1014">
        <f>INDEX(TEMPLATE_NUMBER_POINT_FHD,B91,MATCH(TEMPLATE_SPHERE,TEMPLATE_SPHERE_LIST_FOR_NOTE,0))</f>
        <v>0</v>
      </c>
      <c r="J91" s="1014">
        <f>INDEX(TEMPLATE_DATA_POINT_FHD,B91,MATCH(TEMPLATE_SPHERE,TEMPLATE_SPHERE_LIST_FOR_NOTE,0))</f>
        <v>0</v>
      </c>
      <c r="K91" s="1014">
        <f>INDEX(TEMPLATE_NOTE_POINT_FHD,B91,MATCH(TEMPLATE_SPHERE,TEMPLATE_SPHERE_LIST_FOR_NOTE,0))</f>
        <v>0</v>
      </c>
      <c r="L91" s="853" t="str">
        <f>IF(I91=0,"",I91)</f>
        <v/>
      </c>
      <c r="M91" s="853" t="str">
        <f>IF(J91=0,"",J91)</f>
        <v/>
      </c>
      <c r="N91" s="853" t="str">
        <f>IF(K91=0,"",K91)</f>
        <v/>
      </c>
      <c r="O91" s="966"/>
      <c r="P91" s="966" t="s">
        <v>169</v>
      </c>
      <c r="Q91" s="966" t="s">
        <v>169</v>
      </c>
      <c r="R91" s="966"/>
      <c r="S91" s="966"/>
      <c r="T91" s="852"/>
      <c r="U91" s="852" t="s">
        <v>2440</v>
      </c>
      <c r="V91" s="852" t="s">
        <v>2440</v>
      </c>
      <c r="W91" s="852"/>
      <c r="X91" s="852"/>
      <c r="Y91" s="1009"/>
      <c r="Z91" s="855"/>
      <c r="AA91" s="858"/>
      <c r="AB91" s="855"/>
      <c r="AC91" s="855"/>
      <c r="AD91" s="855"/>
    </row>
    <row customHeight="1" ht="27">
      <c r="A92" s="854"/>
      <c r="B92" s="908">
        <v>75</v>
      </c>
      <c r="C92" s="852"/>
      <c r="D92" s="976" t="s">
        <v>2438</v>
      </c>
      <c r="E92" s="852"/>
      <c r="F92" s="852"/>
      <c r="G92" s="852"/>
      <c r="H92" s="900"/>
      <c r="I92" s="1014">
        <f>INDEX(TEMPLATE_NUMBER_POINT_FHD,B92,MATCH(TEMPLATE_SPHERE,TEMPLATE_SPHERE_LIST_FOR_NOTE,0))</f>
        <v>0</v>
      </c>
      <c r="J92" s="1014">
        <f>INDEX(TEMPLATE_DATA_POINT_FHD,B92,MATCH(TEMPLATE_SPHERE,TEMPLATE_SPHERE_LIST_FOR_NOTE,0))</f>
        <v>0</v>
      </c>
      <c r="K92" s="1014">
        <f>INDEX(TEMPLATE_NOTE_POINT_FHD,B92,MATCH(TEMPLATE_SPHERE,TEMPLATE_SPHERE_LIST_FOR_NOTE,0))</f>
        <v>0</v>
      </c>
      <c r="L92" s="853" t="str">
        <f>IF(I92=0,"",I92)</f>
        <v/>
      </c>
      <c r="M92" s="853" t="str">
        <f>IF(J92=0,"",J92)</f>
        <v/>
      </c>
      <c r="N92" s="853" t="str">
        <f>IF(K92=0,"",K92)</f>
        <v/>
      </c>
      <c r="O92" s="966"/>
      <c r="P92" s="966" t="s">
        <v>170</v>
      </c>
      <c r="Q92" s="966"/>
      <c r="R92" s="966"/>
      <c r="S92" s="966"/>
      <c r="T92" s="852"/>
      <c r="U92" s="852" t="s">
        <v>2441</v>
      </c>
      <c r="V92" s="852"/>
      <c r="W92" s="852"/>
      <c r="X92" s="852"/>
      <c r="Y92" s="1009"/>
      <c r="Z92" s="855"/>
      <c r="AA92" s="858" t="s">
        <v>2442</v>
      </c>
      <c r="AB92" s="855"/>
      <c r="AC92" s="855"/>
      <c r="AD92" s="855"/>
    </row>
    <row customHeight="1" ht="27">
      <c r="A93" s="854"/>
      <c r="B93" s="908">
        <v>76</v>
      </c>
      <c r="C93" s="852"/>
      <c r="D93" s="976"/>
      <c r="E93" s="852"/>
      <c r="F93" s="852"/>
      <c r="G93" s="852"/>
      <c r="H93" s="900"/>
      <c r="I93" s="1014">
        <f>INDEX(TEMPLATE_NUMBER_POINT_FHD,B93,MATCH(TEMPLATE_SPHERE,TEMPLATE_SPHERE_LIST_FOR_NOTE,0))</f>
        <v>0</v>
      </c>
      <c r="J93" s="1014">
        <f>INDEX(TEMPLATE_DATA_POINT_FHD,B93,MATCH(TEMPLATE_SPHERE,TEMPLATE_SPHERE_LIST_FOR_NOTE,0))</f>
        <v>0</v>
      </c>
      <c r="K93" s="1014">
        <f>INDEX(TEMPLATE_NOTE_POINT_FHD,B93,MATCH(TEMPLATE_SPHERE,TEMPLATE_SPHERE_LIST_FOR_NOTE,0))</f>
        <v>0</v>
      </c>
      <c r="L93" s="853" t="str">
        <f>IF(I93=0,"",I93)</f>
        <v/>
      </c>
      <c r="M93" s="853" t="str">
        <f>IF(J93=0,"",J93)</f>
        <v/>
      </c>
      <c r="N93" s="853" t="str">
        <f>IF(K93=0,"",K93)</f>
        <v/>
      </c>
      <c r="O93" s="966"/>
      <c r="P93" s="966" t="s">
        <v>2350</v>
      </c>
      <c r="Q93" s="966"/>
      <c r="R93" s="966"/>
      <c r="S93" s="966"/>
      <c r="T93" s="852"/>
      <c r="U93" s="852" t="s">
        <v>2443</v>
      </c>
      <c r="V93" s="852"/>
      <c r="W93" s="852"/>
      <c r="X93" s="852"/>
      <c r="Y93" s="1009"/>
      <c r="Z93" s="855"/>
      <c r="AA93" s="858" t="s">
        <v>2444</v>
      </c>
      <c r="AB93" s="855"/>
      <c r="AC93" s="855"/>
      <c r="AD93" s="855"/>
    </row>
    <row customHeight="1" ht="45">
      <c r="A94" s="854"/>
      <c r="B94" s="908">
        <v>77</v>
      </c>
      <c r="C94" s="852"/>
      <c r="D94" s="976" t="s">
        <v>2439</v>
      </c>
      <c r="E94" s="852"/>
      <c r="F94" s="852"/>
      <c r="G94" s="852"/>
      <c r="H94" s="900"/>
      <c r="I94" s="1014">
        <f>INDEX(TEMPLATE_NUMBER_POINT_FHD,B94,MATCH(TEMPLATE_SPHERE,TEMPLATE_SPHERE_LIST_FOR_NOTE,0))</f>
        <v>0</v>
      </c>
      <c r="J94" s="1014">
        <f>INDEX(TEMPLATE_DATA_POINT_FHD,B94,MATCH(TEMPLATE_SPHERE,TEMPLATE_SPHERE_LIST_FOR_NOTE,0))</f>
        <v>0</v>
      </c>
      <c r="K94" s="1014">
        <f>INDEX(TEMPLATE_NOTE_POINT_FHD,B94,MATCH(TEMPLATE_SPHERE,TEMPLATE_SPHERE_LIST_FOR_NOTE,0))</f>
        <v>0</v>
      </c>
      <c r="L94" s="853" t="str">
        <f>IF(I94=0,"",I94)</f>
        <v/>
      </c>
      <c r="M94" s="853" t="str">
        <f>IF(J94=0,"",J94)</f>
        <v/>
      </c>
      <c r="N94" s="853" t="str">
        <f>IF(K94=0,"",K94)</f>
        <v/>
      </c>
      <c r="O94" s="966"/>
      <c r="P94" s="966" t="s">
        <v>1121</v>
      </c>
      <c r="Q94" s="966"/>
      <c r="R94" s="966"/>
      <c r="S94" s="966"/>
      <c r="T94" s="852"/>
      <c r="U94" s="852" t="s">
        <v>2445</v>
      </c>
      <c r="V94" s="852"/>
      <c r="W94" s="852"/>
      <c r="X94" s="852"/>
      <c r="Y94" s="1009"/>
      <c r="Z94" s="855"/>
      <c r="AA94" s="858" t="s">
        <v>2446</v>
      </c>
      <c r="AB94" s="855"/>
      <c r="AC94" s="855"/>
      <c r="AD94" s="855"/>
    </row>
    <row customHeight="1" ht="99">
      <c r="A95" s="854"/>
      <c r="B95" s="908">
        <v>78</v>
      </c>
      <c r="C95" s="852" t="s">
        <v>2447</v>
      </c>
      <c r="D95" s="976"/>
      <c r="E95" s="852"/>
      <c r="F95" s="852"/>
      <c r="G95" s="852"/>
      <c r="H95" s="900"/>
      <c r="I95" s="1014" t="str">
        <f>INDEX(TEMPLATE_NUMBER_POINT_FHD,B95,MATCH(TEMPLATE_SPHERE,TEMPLATE_SPHERE_LIST_FOR_NOTE,0))</f>
        <v>15</v>
      </c>
      <c r="J95" s="1014"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014">
        <f>INDEX(TEMPLATE_NOTE_POINT_FHD,B95,MATCH(TEMPLATE_SPHERE,TEMPLATE_SPHERE_LIST_FOR_NOTE,0))</f>
        <v>0</v>
      </c>
      <c r="L95" s="853" t="str">
        <f>IF(I95=0,"",I95)</f>
        <v>15</v>
      </c>
      <c r="M95" s="853"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853" t="str">
        <f>IF(K95=0,"",K95)</f>
        <v/>
      </c>
      <c r="O95" s="966" t="s">
        <v>1121</v>
      </c>
      <c r="P95" s="966"/>
      <c r="Q95" s="966"/>
      <c r="R95" s="966"/>
      <c r="S95" s="966"/>
      <c r="T95" s="852" t="s">
        <v>2448</v>
      </c>
      <c r="U95" s="852"/>
      <c r="V95" s="852"/>
      <c r="W95" s="852"/>
      <c r="X95" s="852"/>
      <c r="Y95" s="1009"/>
      <c r="Z95" s="855"/>
      <c r="AA95" s="858"/>
      <c r="AB95" s="855"/>
      <c r="AC95" s="855"/>
      <c r="AD95" s="855"/>
    </row>
    <row customHeight="1" ht="99">
      <c r="A96" s="854"/>
      <c r="B96" s="908">
        <v>79</v>
      </c>
      <c r="C96" s="852" t="s">
        <v>1460</v>
      </c>
      <c r="D96" s="976"/>
      <c r="E96" s="852"/>
      <c r="F96" s="852"/>
      <c r="G96" s="852"/>
      <c r="H96" s="900"/>
      <c r="I96" s="1014" t="str">
        <f>INDEX(TEMPLATE_NUMBER_POINT_FHD,B96,MATCH(TEMPLATE_SPHERE,TEMPLATE_SPHERE_LIST_FOR_NOTE,0))</f>
        <v>16</v>
      </c>
      <c r="J96" s="1014"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014"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853" t="str">
        <f>IF(I96=0,"",I96)</f>
        <v>16</v>
      </c>
      <c r="M96" s="853"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853"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966" t="s">
        <v>1123</v>
      </c>
      <c r="P96" s="966"/>
      <c r="Q96" s="966"/>
      <c r="R96" s="966"/>
      <c r="S96" s="966"/>
      <c r="T96" s="852" t="s">
        <v>2449</v>
      </c>
      <c r="U96" s="852"/>
      <c r="V96" s="852"/>
      <c r="W96" s="852"/>
      <c r="X96" s="852"/>
      <c r="Y96" s="1009"/>
      <c r="Z96" s="855" t="s">
        <v>2450</v>
      </c>
      <c r="AA96" s="858"/>
      <c r="AB96" s="855"/>
      <c r="AC96" s="855"/>
      <c r="AD96" s="855"/>
    </row>
    <row customHeight="1" ht="63">
      <c r="A97" s="854"/>
      <c r="B97" s="908">
        <v>80</v>
      </c>
      <c r="C97" s="852" t="s">
        <v>2451</v>
      </c>
      <c r="D97" s="976"/>
      <c r="E97" s="852"/>
      <c r="F97" s="852"/>
      <c r="G97" s="852"/>
      <c r="H97" s="900"/>
      <c r="I97" s="1014" t="str">
        <f>INDEX(TEMPLATE_NUMBER_POINT_FHD,B97,MATCH(TEMPLATE_SPHERE,TEMPLATE_SPHERE_LIST_FOR_NOTE,0))</f>
        <v>17</v>
      </c>
      <c r="J97" s="1014"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014"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853" t="str">
        <f>IF(I97=0,"",I97)</f>
        <v>17</v>
      </c>
      <c r="M97" s="853"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853" t="str">
        <f>IF(K97=0,"",K97)</f>
        <v>Регулируемыми организациями указывается информация с по договорам, заключенным в рамках осуществления регулируемой деятельности.</v>
      </c>
      <c r="O97" s="966" t="s">
        <v>1126</v>
      </c>
      <c r="P97" s="966"/>
      <c r="Q97" s="966"/>
      <c r="R97" s="966"/>
      <c r="S97" s="966"/>
      <c r="T97" s="852" t="s">
        <v>2452</v>
      </c>
      <c r="U97" s="852"/>
      <c r="V97" s="852"/>
      <c r="W97" s="852"/>
      <c r="X97" s="852"/>
      <c r="Y97" s="1009"/>
      <c r="Z97" s="855" t="s">
        <v>2453</v>
      </c>
      <c r="AA97" s="858"/>
      <c r="AB97" s="855"/>
      <c r="AC97" s="855"/>
      <c r="AD97" s="855"/>
    </row>
    <row customHeight="1" ht="63">
      <c r="A98" s="854"/>
      <c r="B98" s="908">
        <v>81</v>
      </c>
      <c r="C98" s="852" t="s">
        <v>2454</v>
      </c>
      <c r="D98" s="976"/>
      <c r="E98" s="852"/>
      <c r="F98" s="852"/>
      <c r="G98" s="852"/>
      <c r="H98" s="900"/>
      <c r="I98" s="1014" t="str">
        <f>INDEX(TEMPLATE_NUMBER_POINT_FHD,B98,MATCH(TEMPLATE_SPHERE,TEMPLATE_SPHERE_LIST_FOR_NOTE,0))</f>
        <v>18</v>
      </c>
      <c r="J98" s="1014"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014"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853" t="str">
        <f>IF(I98=0,"",I98)</f>
        <v>18</v>
      </c>
      <c r="M98" s="853"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853" t="str">
        <f>IF(K98=0,"",K98)</f>
        <v>Регулируемыми организациями указывается информация с по договорам, заключенным в рамках осуществления регулируемой деятельности.</v>
      </c>
      <c r="O98" s="966" t="s">
        <v>1128</v>
      </c>
      <c r="P98" s="966"/>
      <c r="Q98" s="966"/>
      <c r="R98" s="966"/>
      <c r="S98" s="966"/>
      <c r="T98" s="852" t="s">
        <v>2455</v>
      </c>
      <c r="U98" s="852"/>
      <c r="V98" s="852"/>
      <c r="W98" s="852"/>
      <c r="X98" s="852"/>
      <c r="Y98" s="1009"/>
      <c r="Z98" s="855" t="s">
        <v>2453</v>
      </c>
      <c r="AA98" s="858"/>
      <c r="AB98" s="855"/>
      <c r="AC98" s="855"/>
      <c r="AD98" s="855"/>
    </row>
    <row customHeight="1" ht="90">
      <c r="A99" s="854"/>
      <c r="B99" s="908">
        <v>82</v>
      </c>
      <c r="C99" s="852" t="s">
        <v>2456</v>
      </c>
      <c r="D99" s="976"/>
      <c r="E99" s="852"/>
      <c r="F99" s="852"/>
      <c r="G99" s="852"/>
      <c r="H99" s="900"/>
      <c r="I99" s="1014" t="str">
        <f>INDEX(TEMPLATE_NUMBER_POINT_FHD,B99,MATCH(TEMPLATE_SPHERE,TEMPLATE_SPHERE_LIST_FOR_NOTE,0))</f>
        <v>19</v>
      </c>
      <c r="J99" s="1014"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014" t="str">
        <f>INDEX(TEMPLATE_NOTE_POINT_FHD,B99,MATCH(TEMPLATE_SPHERE,TEMPLATE_SPHERE_LIST_FOR_NOTE,0))</f>
        <v>Указывается ссылка на документ, предварительно загруженный в хранилище файлов ФГИС ЕИАС.</v>
      </c>
      <c r="L99" s="853" t="str">
        <f>IF(I99=0,"",I99)</f>
        <v>19</v>
      </c>
      <c r="M99" s="853"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853" t="str">
        <f>IF(K99=0,"",K99)</f>
        <v>Указывается ссылка на документ, предварительно загруженный в хранилище файлов ФГИС ЕИАС.</v>
      </c>
      <c r="O99" s="966" t="s">
        <v>1130</v>
      </c>
      <c r="P99" s="966"/>
      <c r="Q99" s="966"/>
      <c r="R99" s="966"/>
      <c r="S99" s="966"/>
      <c r="T99" s="852" t="s">
        <v>2457</v>
      </c>
      <c r="U99" s="852"/>
      <c r="V99" s="852"/>
      <c r="W99" s="852"/>
      <c r="X99" s="852"/>
      <c r="Y99" s="1009"/>
      <c r="Z99" s="855" t="s">
        <v>654</v>
      </c>
      <c r="AA99" s="858"/>
      <c r="AB99" s="855"/>
      <c r="AC99" s="855"/>
      <c r="AD99" s="855"/>
    </row>
    <row customHeight="1" ht="27">
      <c r="A100" s="854"/>
      <c r="B100" s="908">
        <v>83</v>
      </c>
      <c r="C100" s="852"/>
      <c r="D100" s="976"/>
      <c r="E100" s="852"/>
      <c r="F100" s="852"/>
      <c r="G100" s="852"/>
      <c r="H100" s="900"/>
      <c r="I100" s="1014" t="str">
        <f>INDEX(TEMPLATE_NUMBER_POINT_FHD,B100,MATCH(TEMPLATE_SPHERE,TEMPLATE_SPHERE_LIST_FOR_NOTE,0))</f>
        <v>19.1</v>
      </c>
      <c r="J100" s="1014" t="str">
        <f>INDEX(TEMPLATE_DATA_POINT_FHD,B100,MATCH(TEMPLATE_SPHERE,TEMPLATE_SPHERE_LIST_FOR_NOTE,0))</f>
        <v>Информация о показателях физического износа объектов теплоснабжения</v>
      </c>
      <c r="K100" s="1014" t="str">
        <f>INDEX(TEMPLATE_NOTE_POINT_FHD,B100,MATCH(TEMPLATE_SPHERE,TEMPLATE_SPHERE_LIST_FOR_NOTE,0))</f>
        <v>Указывается ссылка на документ, предварительно загруженный в хранилище файлов ФГИС ЕИАС.</v>
      </c>
      <c r="L100" s="853" t="str">
        <f>IF(I100=0,"",I100)</f>
        <v>19.1</v>
      </c>
      <c r="M100" s="853" t="str">
        <f>IF(J100=0,"",J100)</f>
        <v>Информация о показателях физического износа объектов теплоснабжения</v>
      </c>
      <c r="N100" s="853" t="str">
        <f>IF(K100=0,"",K100)</f>
        <v>Указывается ссылка на документ, предварительно загруженный в хранилище файлов ФГИС ЕИАС.</v>
      </c>
      <c r="O100" s="966" t="s">
        <v>2458</v>
      </c>
      <c r="P100" s="966"/>
      <c r="Q100" s="966"/>
      <c r="R100" s="966"/>
      <c r="S100" s="966"/>
      <c r="T100" s="852" t="s">
        <v>2459</v>
      </c>
      <c r="U100" s="852"/>
      <c r="V100" s="852"/>
      <c r="W100" s="852"/>
      <c r="X100" s="852"/>
      <c r="Y100" s="1009"/>
      <c r="Z100" s="855" t="s">
        <v>654</v>
      </c>
      <c r="AA100" s="858"/>
      <c r="AB100" s="855"/>
      <c r="AC100" s="855"/>
      <c r="AD100" s="855"/>
    </row>
    <row customHeight="1" ht="27">
      <c r="A101" s="854"/>
      <c r="B101" s="908">
        <v>84</v>
      </c>
      <c r="C101" s="852"/>
      <c r="D101" s="976"/>
      <c r="E101" s="852"/>
      <c r="F101" s="852"/>
      <c r="G101" s="852"/>
      <c r="H101" s="900"/>
      <c r="I101" s="1014" t="str">
        <f>INDEX(TEMPLATE_NUMBER_POINT_FHD,B101,MATCH(TEMPLATE_SPHERE,TEMPLATE_SPHERE_LIST_FOR_NOTE,0))</f>
        <v>19.2</v>
      </c>
      <c r="J101" s="1014" t="str">
        <f>INDEX(TEMPLATE_DATA_POINT_FHD,B101,MATCH(TEMPLATE_SPHERE,TEMPLATE_SPHERE_LIST_FOR_NOTE,0))</f>
        <v>Информация о показателях энергетической эффективности объектов теплоснабжения</v>
      </c>
      <c r="K101" s="1014" t="str">
        <f>INDEX(TEMPLATE_NOTE_POINT_FHD,B101,MATCH(TEMPLATE_SPHERE,TEMPLATE_SPHERE_LIST_FOR_NOTE,0))</f>
        <v>Указывается ссылка на документ, предварительно загруженный в хранилище файлов ФГИС ЕИАС.</v>
      </c>
      <c r="L101" s="853" t="str">
        <f>IF(I101=0,"",I101)</f>
        <v>19.2</v>
      </c>
      <c r="M101" s="853" t="str">
        <f>IF(J101=0,"",J101)</f>
        <v>Информация о показателях энергетической эффективности объектов теплоснабжения</v>
      </c>
      <c r="N101" s="853" t="str">
        <f>IF(K101=0,"",K101)</f>
        <v>Указывается ссылка на документ, предварительно загруженный в хранилище файлов ФГИС ЕИАС.</v>
      </c>
      <c r="O101" s="966" t="s">
        <v>2460</v>
      </c>
      <c r="P101" s="966"/>
      <c r="Q101" s="966"/>
      <c r="R101" s="966"/>
      <c r="S101" s="966"/>
      <c r="T101" s="852" t="s">
        <v>2461</v>
      </c>
      <c r="U101" s="852"/>
      <c r="V101" s="852"/>
      <c r="W101" s="852"/>
      <c r="X101" s="852"/>
      <c r="Y101" s="1009"/>
      <c r="Z101" s="855" t="s">
        <v>654</v>
      </c>
      <c r="AA101" s="858"/>
      <c r="AB101" s="855"/>
      <c r="AC101" s="855"/>
      <c r="AD101" s="855"/>
    </row>
    <row customHeight="1" ht="9">
      <c r="A102" s="854"/>
      <c r="B102" s="854"/>
      <c r="C102" s="852"/>
      <c r="D102" s="852"/>
      <c r="E102" s="852"/>
      <c r="F102" s="852"/>
      <c r="G102" s="852"/>
      <c r="H102" s="900"/>
      <c r="I102" s="900"/>
      <c r="J102" s="900"/>
      <c r="K102" s="900"/>
      <c r="L102" s="900"/>
      <c r="M102" s="852"/>
      <c r="N102" s="899"/>
      <c r="O102" s="966"/>
      <c r="P102" s="966"/>
      <c r="Q102" s="966"/>
      <c r="R102" s="966"/>
      <c r="S102" s="852"/>
      <c r="T102" s="852"/>
      <c r="U102" s="852"/>
      <c r="V102" s="852"/>
      <c r="W102" s="852"/>
      <c r="X102" s="852"/>
      <c r="Y102" s="1009"/>
      <c r="Z102" s="855"/>
      <c r="AA102" s="858"/>
      <c r="AB102" s="855"/>
      <c r="AC102" s="855"/>
      <c r="AD102" s="855"/>
    </row>
    <row customHeight="1" ht="9">
      <c r="A103" s="854"/>
      <c r="B103" s="854"/>
      <c r="C103" s="852"/>
      <c r="D103" s="852"/>
      <c r="E103" s="852"/>
      <c r="F103" s="852"/>
      <c r="G103" s="852"/>
      <c r="H103" s="900"/>
      <c r="I103" s="900"/>
      <c r="J103" s="900"/>
      <c r="K103" s="900"/>
      <c r="L103" s="900"/>
      <c r="M103" s="852"/>
      <c r="N103" s="899"/>
      <c r="O103" s="966"/>
      <c r="P103" s="966"/>
      <c r="Q103" s="966"/>
      <c r="R103" s="966"/>
      <c r="S103" s="852"/>
      <c r="T103" s="852"/>
      <c r="U103" s="852"/>
      <c r="V103" s="852"/>
      <c r="W103" s="852"/>
      <c r="X103" s="852"/>
      <c r="Y103" s="1009"/>
      <c r="Z103" s="855"/>
      <c r="AA103" s="858"/>
      <c r="AB103" s="855"/>
      <c r="AC103" s="855"/>
      <c r="AD103" s="855"/>
    </row>
    <row customHeight="1" ht="9">
      <c r="A104" s="854"/>
      <c r="B104" s="854"/>
      <c r="C104" s="852"/>
      <c r="D104" s="852"/>
      <c r="E104" s="852"/>
      <c r="F104" s="852"/>
      <c r="G104" s="852"/>
      <c r="H104" s="900"/>
      <c r="I104" s="900"/>
      <c r="J104" s="900"/>
      <c r="K104" s="900"/>
      <c r="L104" s="900"/>
      <c r="M104" s="852"/>
      <c r="N104" s="899"/>
      <c r="O104" s="966"/>
      <c r="P104" s="966"/>
      <c r="Q104" s="966"/>
      <c r="R104" s="966"/>
      <c r="S104" s="852"/>
      <c r="T104" s="852"/>
      <c r="U104" s="852"/>
      <c r="V104" s="852"/>
      <c r="W104" s="852"/>
      <c r="X104" s="852"/>
      <c r="Y104" s="1009"/>
      <c r="Z104" s="855"/>
      <c r="AA104" s="858"/>
      <c r="AB104" s="855"/>
      <c r="AC104" s="855"/>
      <c r="AD104" s="855"/>
    </row>
    <row customHeight="1" ht="9">
      <c r="A105" s="854"/>
      <c r="B105" s="854"/>
      <c r="C105" s="852"/>
      <c r="D105" s="852"/>
      <c r="E105" s="852"/>
      <c r="F105" s="852"/>
      <c r="G105" s="852"/>
      <c r="H105" s="900"/>
      <c r="I105" s="900"/>
      <c r="J105" s="900"/>
      <c r="K105" s="900"/>
      <c r="L105" s="900"/>
      <c r="M105" s="852"/>
      <c r="N105" s="899"/>
      <c r="O105" s="966"/>
      <c r="P105" s="966"/>
      <c r="Q105" s="966"/>
      <c r="R105" s="966"/>
      <c r="S105" s="852"/>
      <c r="T105" s="852"/>
      <c r="U105" s="852"/>
      <c r="V105" s="852"/>
      <c r="W105" s="852"/>
      <c r="X105" s="852"/>
      <c r="Y105" s="1009"/>
      <c r="Z105" s="855"/>
      <c r="AA105" s="858"/>
      <c r="AB105" s="855"/>
      <c r="AC105" s="855"/>
      <c r="AD105" s="855"/>
    </row>
    <row customHeight="1" ht="9">
      <c r="A106" s="854"/>
      <c r="B106" s="854"/>
      <c r="C106" s="852"/>
      <c r="D106" s="852"/>
      <c r="E106" s="852"/>
      <c r="F106" s="852"/>
      <c r="G106" s="852"/>
      <c r="H106" s="900"/>
      <c r="I106" s="900"/>
      <c r="J106" s="900"/>
      <c r="K106" s="900"/>
      <c r="L106" s="900"/>
      <c r="M106" s="852"/>
      <c r="N106" s="899"/>
      <c r="O106" s="966"/>
      <c r="P106" s="966"/>
      <c r="Q106" s="966"/>
      <c r="R106" s="966"/>
      <c r="S106" s="852"/>
      <c r="T106" s="852"/>
      <c r="U106" s="852"/>
      <c r="V106" s="852"/>
      <c r="W106" s="852"/>
      <c r="X106" s="852"/>
      <c r="Y106" s="1009"/>
      <c r="Z106" s="855"/>
      <c r="AA106" s="858"/>
      <c r="AB106" s="855"/>
      <c r="AC106" s="855"/>
      <c r="AD106" s="855"/>
    </row>
    <row customHeight="1" ht="9">
      <c r="A107" s="854"/>
      <c r="B107" s="854"/>
      <c r="C107" s="852"/>
      <c r="D107" s="852"/>
      <c r="E107" s="852"/>
      <c r="F107" s="852"/>
      <c r="G107" s="852"/>
      <c r="H107" s="900"/>
      <c r="I107" s="900"/>
      <c r="J107" s="900"/>
      <c r="K107" s="900"/>
      <c r="L107" s="900"/>
      <c r="M107" s="852"/>
      <c r="N107" s="899"/>
      <c r="O107" s="966"/>
      <c r="P107" s="966"/>
      <c r="Q107" s="966"/>
      <c r="R107" s="966"/>
      <c r="S107" s="852"/>
      <c r="T107" s="852"/>
      <c r="U107" s="852"/>
      <c r="V107" s="852"/>
      <c r="W107" s="852"/>
      <c r="X107" s="852"/>
      <c r="Y107" s="1009"/>
      <c r="Z107" s="855"/>
      <c r="AA107" s="858"/>
      <c r="AB107" s="855"/>
      <c r="AC107" s="855"/>
      <c r="AD107" s="855"/>
    </row>
    <row customHeight="1" ht="9">
      <c r="A108" s="854"/>
      <c r="B108" s="854"/>
      <c r="C108" s="852"/>
      <c r="D108" s="852"/>
      <c r="E108" s="852"/>
      <c r="F108" s="852"/>
      <c r="G108" s="852"/>
      <c r="H108" s="900"/>
      <c r="I108" s="900"/>
      <c r="J108" s="900"/>
      <c r="K108" s="900"/>
      <c r="L108" s="900"/>
      <c r="M108" s="852"/>
      <c r="N108" s="899"/>
      <c r="O108" s="966"/>
      <c r="P108" s="966"/>
      <c r="Q108" s="966"/>
      <c r="R108" s="966"/>
      <c r="S108" s="852"/>
      <c r="T108" s="852"/>
      <c r="U108" s="852"/>
      <c r="V108" s="852"/>
      <c r="W108" s="852"/>
      <c r="X108" s="852"/>
      <c r="Y108" s="1009"/>
      <c r="Z108" s="855"/>
      <c r="AA108" s="858"/>
      <c r="AB108" s="855"/>
      <c r="AC108" s="855"/>
      <c r="AD108" s="855"/>
    </row>
    <row customHeight="1" ht="9">
      <c r="A109" s="854"/>
      <c r="B109" s="854"/>
      <c r="C109" s="852"/>
      <c r="D109" s="852"/>
      <c r="E109" s="852"/>
      <c r="F109" s="852"/>
      <c r="G109" s="852"/>
      <c r="H109" s="900"/>
      <c r="I109" s="900"/>
      <c r="J109" s="900"/>
      <c r="K109" s="900"/>
      <c r="L109" s="900"/>
      <c r="M109" s="852"/>
      <c r="N109" s="899"/>
      <c r="O109" s="966"/>
      <c r="P109" s="966"/>
      <c r="Q109" s="966"/>
      <c r="R109" s="966"/>
      <c r="S109" s="852"/>
      <c r="T109" s="852"/>
      <c r="U109" s="852"/>
      <c r="V109" s="852"/>
      <c r="W109" s="852"/>
      <c r="X109" s="852"/>
      <c r="Y109" s="1009"/>
      <c r="Z109" s="855"/>
      <c r="AA109" s="858"/>
      <c r="AB109" s="855"/>
      <c r="AC109" s="855"/>
      <c r="AD109" s="855"/>
    </row>
    <row customHeight="1" ht="9">
      <c r="A110" s="854"/>
      <c r="B110" s="854"/>
      <c r="C110" s="852"/>
      <c r="D110" s="852"/>
      <c r="E110" s="852"/>
      <c r="F110" s="852"/>
      <c r="G110" s="852"/>
      <c r="H110" s="900"/>
      <c r="I110" s="900"/>
      <c r="J110" s="900"/>
      <c r="K110" s="900"/>
      <c r="L110" s="900"/>
      <c r="M110" s="852"/>
      <c r="N110" s="899"/>
      <c r="O110" s="966"/>
      <c r="P110" s="966"/>
      <c r="Q110" s="966"/>
      <c r="R110" s="966"/>
      <c r="S110" s="852"/>
      <c r="T110" s="852"/>
      <c r="U110" s="852"/>
      <c r="V110" s="852"/>
      <c r="W110" s="852"/>
      <c r="X110" s="852"/>
      <c r="Y110" s="1009"/>
      <c r="Z110" s="855"/>
      <c r="AA110" s="858"/>
      <c r="AB110" s="855"/>
      <c r="AC110" s="855"/>
      <c r="AD110" s="855"/>
    </row>
    <row customHeight="1" ht="9">
      <c r="A111" s="854"/>
      <c r="B111" s="854"/>
      <c r="C111" s="852"/>
      <c r="D111" s="852"/>
      <c r="E111" s="852"/>
      <c r="F111" s="852"/>
      <c r="G111" s="852"/>
      <c r="H111" s="900"/>
      <c r="I111" s="900"/>
      <c r="J111" s="900"/>
      <c r="K111" s="900"/>
      <c r="L111" s="900"/>
      <c r="M111" s="852"/>
      <c r="N111" s="899"/>
      <c r="O111" s="966"/>
      <c r="P111" s="966"/>
      <c r="Q111" s="966"/>
      <c r="R111" s="966"/>
      <c r="S111" s="852"/>
      <c r="T111" s="852"/>
      <c r="U111" s="852"/>
      <c r="V111" s="852"/>
      <c r="W111" s="852"/>
      <c r="X111" s="852"/>
      <c r="Y111" s="1009"/>
      <c r="Z111" s="855"/>
      <c r="AA111" s="858"/>
      <c r="AB111" s="855"/>
      <c r="AC111" s="855"/>
      <c r="AD111" s="855"/>
    </row>
    <row customHeight="1" ht="9">
      <c r="A112" s="854"/>
      <c r="B112" s="854"/>
      <c r="C112" s="852"/>
      <c r="D112" s="852"/>
      <c r="E112" s="852"/>
      <c r="F112" s="852"/>
      <c r="G112" s="852"/>
      <c r="H112" s="900"/>
      <c r="I112" s="900"/>
      <c r="J112" s="900"/>
      <c r="K112" s="900"/>
      <c r="L112" s="900"/>
      <c r="M112" s="852"/>
      <c r="N112" s="899"/>
      <c r="O112" s="966"/>
      <c r="P112" s="966"/>
      <c r="Q112" s="966"/>
      <c r="R112" s="966"/>
      <c r="S112" s="852"/>
      <c r="T112" s="852"/>
      <c r="U112" s="852"/>
      <c r="V112" s="852"/>
      <c r="W112" s="852"/>
      <c r="X112" s="852"/>
      <c r="Y112" s="1009"/>
      <c r="Z112" s="855"/>
      <c r="AA112" s="858"/>
      <c r="AB112" s="855"/>
      <c r="AC112" s="855"/>
      <c r="AD112" s="855"/>
    </row>
    <row customHeight="1" ht="9">
      <c r="A113" s="854"/>
      <c r="B113" s="854"/>
      <c r="C113" s="852"/>
      <c r="D113" s="852"/>
      <c r="E113" s="852"/>
      <c r="F113" s="852"/>
      <c r="G113" s="852"/>
      <c r="H113" s="900"/>
      <c r="I113" s="900"/>
      <c r="J113" s="900"/>
      <c r="K113" s="900"/>
      <c r="L113" s="900"/>
      <c r="M113" s="852"/>
      <c r="N113" s="899"/>
      <c r="O113" s="966"/>
      <c r="P113" s="966"/>
      <c r="Q113" s="966"/>
      <c r="R113" s="966"/>
      <c r="S113" s="852"/>
      <c r="T113" s="852"/>
      <c r="U113" s="852"/>
      <c r="V113" s="852"/>
      <c r="W113" s="852"/>
      <c r="X113" s="852"/>
      <c r="Y113" s="1009"/>
      <c r="Z113" s="855"/>
      <c r="AA113" s="858"/>
      <c r="AB113" s="855"/>
      <c r="AC113" s="855"/>
      <c r="AD113" s="855"/>
    </row>
    <row customHeight="1" ht="9">
      <c r="A114" s="854"/>
      <c r="B114" s="854"/>
      <c r="C114" s="852"/>
      <c r="D114" s="852"/>
      <c r="E114" s="852"/>
      <c r="F114" s="852"/>
      <c r="G114" s="852"/>
      <c r="H114" s="900"/>
      <c r="I114" s="900"/>
      <c r="J114" s="900"/>
      <c r="K114" s="900"/>
      <c r="L114" s="900"/>
      <c r="M114" s="852"/>
      <c r="N114" s="899"/>
      <c r="O114" s="966"/>
      <c r="P114" s="966"/>
      <c r="Q114" s="966"/>
      <c r="R114" s="966"/>
      <c r="S114" s="852"/>
      <c r="T114" s="852"/>
      <c r="U114" s="852"/>
      <c r="V114" s="852"/>
      <c r="W114" s="852"/>
      <c r="X114" s="852"/>
      <c r="Y114" s="1009"/>
      <c r="Z114" s="855"/>
      <c r="AA114" s="858"/>
      <c r="AB114" s="855"/>
      <c r="AC114" s="855"/>
      <c r="AD114" s="855"/>
    </row>
    <row customHeight="1" ht="9">
      <c r="A115" s="854"/>
      <c r="B115" s="854"/>
      <c r="C115" s="852"/>
      <c r="D115" s="852"/>
      <c r="E115" s="852"/>
      <c r="F115" s="852"/>
      <c r="G115" s="852"/>
      <c r="H115" s="900"/>
      <c r="I115" s="900"/>
      <c r="J115" s="900"/>
      <c r="K115" s="900"/>
      <c r="L115" s="900"/>
      <c r="M115" s="852"/>
      <c r="N115" s="899"/>
      <c r="O115" s="966"/>
      <c r="P115" s="966"/>
      <c r="Q115" s="966"/>
      <c r="R115" s="966"/>
      <c r="S115" s="852"/>
      <c r="T115" s="852"/>
      <c r="U115" s="852"/>
      <c r="V115" s="852"/>
      <c r="W115" s="852"/>
      <c r="X115" s="852"/>
      <c r="Y115" s="1009"/>
      <c r="Z115" s="855"/>
      <c r="AA115" s="858"/>
      <c r="AB115" s="855"/>
      <c r="AC115" s="855"/>
      <c r="AD115" s="855"/>
    </row>
    <row customHeight="1" ht="9">
      <c r="A116" s="854"/>
      <c r="B116" s="854"/>
      <c r="C116" s="852"/>
      <c r="D116" s="852"/>
      <c r="E116" s="852"/>
      <c r="F116" s="852"/>
      <c r="G116" s="852"/>
      <c r="H116" s="900"/>
      <c r="I116" s="900"/>
      <c r="J116" s="900"/>
      <c r="K116" s="900"/>
      <c r="L116" s="900"/>
      <c r="M116" s="852"/>
      <c r="N116" s="899"/>
      <c r="O116" s="966"/>
      <c r="P116" s="966"/>
      <c r="Q116" s="966"/>
      <c r="R116" s="966"/>
      <c r="S116" s="852"/>
      <c r="T116" s="852"/>
      <c r="U116" s="852"/>
      <c r="V116" s="852"/>
      <c r="W116" s="852"/>
      <c r="X116" s="852"/>
      <c r="Y116" s="1009"/>
      <c r="Z116" s="855"/>
      <c r="AA116" s="858"/>
      <c r="AB116" s="855"/>
      <c r="AC116" s="855"/>
      <c r="AD116" s="855"/>
    </row>
    <row customHeight="1" ht="9">
      <c r="A117" s="854"/>
      <c r="B117" s="854"/>
      <c r="C117" s="852"/>
      <c r="D117" s="852"/>
      <c r="E117" s="852"/>
      <c r="F117" s="852"/>
      <c r="G117" s="852"/>
      <c r="H117" s="900"/>
      <c r="I117" s="900"/>
      <c r="J117" s="900"/>
      <c r="K117" s="900"/>
      <c r="L117" s="900"/>
      <c r="M117" s="852"/>
      <c r="N117" s="899"/>
      <c r="O117" s="966"/>
      <c r="P117" s="966"/>
      <c r="Q117" s="966"/>
      <c r="R117" s="966"/>
      <c r="S117" s="852"/>
      <c r="T117" s="852"/>
      <c r="U117" s="852"/>
      <c r="V117" s="852"/>
      <c r="W117" s="852"/>
      <c r="X117" s="852"/>
      <c r="Y117" s="1009"/>
      <c r="Z117" s="855"/>
      <c r="AA117" s="858"/>
      <c r="AB117" s="855"/>
      <c r="AC117" s="855"/>
      <c r="AD117" s="855"/>
    </row>
    <row customHeight="1" ht="9">
      <c r="A118" s="854"/>
      <c r="B118" s="854"/>
      <c r="C118" s="852"/>
      <c r="D118" s="852"/>
      <c r="E118" s="852"/>
      <c r="F118" s="852"/>
      <c r="G118" s="852"/>
      <c r="H118" s="900"/>
      <c r="I118" s="900"/>
      <c r="J118" s="900"/>
      <c r="K118" s="900"/>
      <c r="L118" s="900"/>
      <c r="M118" s="852"/>
      <c r="N118" s="899"/>
      <c r="O118" s="966"/>
      <c r="P118" s="966"/>
      <c r="Q118" s="966"/>
      <c r="R118" s="966"/>
      <c r="S118" s="852"/>
      <c r="T118" s="852"/>
      <c r="U118" s="852"/>
      <c r="V118" s="852"/>
      <c r="W118" s="852"/>
      <c r="X118" s="852"/>
      <c r="Y118" s="1009"/>
      <c r="Z118" s="855"/>
      <c r="AA118" s="858"/>
      <c r="AB118" s="855"/>
      <c r="AC118" s="855"/>
      <c r="AD118" s="855"/>
    </row>
    <row customHeight="1" ht="9">
      <c r="A119" s="854"/>
      <c r="B119" s="854"/>
      <c r="C119" s="852"/>
      <c r="D119" s="852"/>
      <c r="E119" s="852"/>
      <c r="F119" s="852"/>
      <c r="G119" s="852"/>
      <c r="H119" s="900"/>
      <c r="I119" s="900"/>
      <c r="J119" s="900"/>
      <c r="K119" s="900"/>
      <c r="L119" s="900"/>
      <c r="M119" s="852"/>
      <c r="N119" s="899"/>
      <c r="O119" s="966"/>
      <c r="P119" s="966"/>
      <c r="Q119" s="966"/>
      <c r="R119" s="966"/>
      <c r="S119" s="852"/>
      <c r="T119" s="852"/>
      <c r="U119" s="852"/>
      <c r="V119" s="852"/>
      <c r="W119" s="852"/>
      <c r="X119" s="852"/>
      <c r="Y119" s="1009"/>
      <c r="Z119" s="855"/>
      <c r="AA119" s="858"/>
      <c r="AB119" s="855"/>
      <c r="AC119" s="855"/>
      <c r="AD119" s="855"/>
    </row>
    <row customHeight="1" ht="9">
      <c r="A120" s="854"/>
      <c r="B120" s="854"/>
      <c r="C120" s="852"/>
      <c r="D120" s="852"/>
      <c r="E120" s="852"/>
      <c r="F120" s="852"/>
      <c r="G120" s="852"/>
      <c r="H120" s="900"/>
      <c r="I120" s="900"/>
      <c r="J120" s="900"/>
      <c r="K120" s="900"/>
      <c r="L120" s="900"/>
      <c r="M120" s="852"/>
      <c r="N120" s="899"/>
      <c r="O120" s="966"/>
      <c r="P120" s="966"/>
      <c r="Q120" s="966"/>
      <c r="R120" s="966"/>
      <c r="S120" s="852"/>
      <c r="T120" s="852"/>
      <c r="U120" s="852"/>
      <c r="V120" s="852"/>
      <c r="W120" s="852"/>
      <c r="X120" s="852"/>
      <c r="Y120" s="1009"/>
      <c r="Z120" s="855"/>
      <c r="AA120" s="858"/>
      <c r="AB120" s="855"/>
      <c r="AC120" s="855"/>
      <c r="AD120" s="855"/>
    </row>
    <row customHeight="1" ht="9">
      <c r="A121" s="854"/>
      <c r="B121" s="854"/>
      <c r="C121" s="852"/>
      <c r="D121" s="852"/>
      <c r="E121" s="852"/>
      <c r="F121" s="852"/>
      <c r="G121" s="852"/>
      <c r="H121" s="900"/>
      <c r="I121" s="900"/>
      <c r="J121" s="900"/>
      <c r="K121" s="900"/>
      <c r="L121" s="900"/>
      <c r="M121" s="852"/>
      <c r="N121" s="899"/>
      <c r="O121" s="966"/>
      <c r="P121" s="966"/>
      <c r="Q121" s="966"/>
      <c r="R121" s="966"/>
      <c r="S121" s="852"/>
      <c r="T121" s="852"/>
      <c r="U121" s="852"/>
      <c r="V121" s="852"/>
      <c r="W121" s="852"/>
      <c r="X121" s="852"/>
      <c r="Y121" s="1009"/>
      <c r="Z121" s="855"/>
      <c r="AA121" s="858"/>
      <c r="AB121" s="855"/>
      <c r="AC121" s="855"/>
      <c r="AD121" s="855"/>
    </row>
    <row customHeight="1" ht="9">
      <c r="A122" s="854"/>
      <c r="B122" s="854"/>
      <c r="C122" s="852"/>
      <c r="D122" s="852"/>
      <c r="E122" s="852"/>
      <c r="F122" s="852"/>
      <c r="G122" s="852"/>
      <c r="H122" s="900"/>
      <c r="I122" s="900"/>
      <c r="J122" s="900"/>
      <c r="K122" s="900"/>
      <c r="L122" s="900"/>
      <c r="M122" s="852"/>
      <c r="N122" s="899"/>
      <c r="O122" s="966"/>
      <c r="P122" s="966"/>
      <c r="Q122" s="966"/>
      <c r="R122" s="966"/>
      <c r="S122" s="852"/>
      <c r="T122" s="852"/>
      <c r="U122" s="852"/>
      <c r="V122" s="852"/>
      <c r="W122" s="852"/>
      <c r="X122" s="852"/>
      <c r="Y122" s="1009"/>
      <c r="Z122" s="855"/>
      <c r="AA122" s="858"/>
      <c r="AB122" s="855"/>
      <c r="AC122" s="855"/>
      <c r="AD122" s="855"/>
    </row>
    <row customHeight="1" ht="9">
      <c r="A123" s="854"/>
      <c r="B123" s="854"/>
      <c r="C123" s="852"/>
      <c r="D123" s="852"/>
      <c r="E123" s="852"/>
      <c r="F123" s="852"/>
      <c r="G123" s="852"/>
      <c r="H123" s="900"/>
      <c r="I123" s="900"/>
      <c r="J123" s="900"/>
      <c r="K123" s="900"/>
      <c r="L123" s="900"/>
      <c r="M123" s="852"/>
      <c r="N123" s="899"/>
      <c r="O123" s="966"/>
      <c r="P123" s="966"/>
      <c r="Q123" s="966"/>
      <c r="R123" s="966"/>
      <c r="S123" s="852"/>
      <c r="T123" s="852"/>
      <c r="U123" s="852"/>
      <c r="V123" s="852"/>
      <c r="W123" s="852"/>
      <c r="X123" s="852"/>
      <c r="Y123" s="1009"/>
      <c r="Z123" s="855"/>
      <c r="AA123" s="858"/>
      <c r="AB123" s="855"/>
      <c r="AC123" s="855"/>
      <c r="AD123" s="855"/>
    </row>
    <row customHeight="1" ht="9">
      <c r="A124" s="854"/>
      <c r="B124" s="854"/>
      <c r="C124" s="852"/>
      <c r="D124" s="852"/>
      <c r="E124" s="852"/>
      <c r="F124" s="852"/>
      <c r="G124" s="852"/>
      <c r="H124" s="900"/>
      <c r="I124" s="900"/>
      <c r="J124" s="900"/>
      <c r="K124" s="900"/>
      <c r="L124" s="900"/>
      <c r="M124" s="852"/>
      <c r="N124" s="899"/>
      <c r="O124" s="966"/>
      <c r="P124" s="966"/>
      <c r="Q124" s="966"/>
      <c r="R124" s="966"/>
      <c r="S124" s="852"/>
      <c r="T124" s="852"/>
      <c r="U124" s="852"/>
      <c r="V124" s="852"/>
      <c r="W124" s="852"/>
      <c r="X124" s="852"/>
      <c r="Y124" s="1009"/>
      <c r="Z124" s="855"/>
      <c r="AA124" s="858"/>
      <c r="AB124" s="855"/>
      <c r="AC124" s="855"/>
      <c r="AD124" s="855"/>
    </row>
    <row customHeight="1" ht="9">
      <c r="A125" s="854"/>
      <c r="B125" s="854"/>
      <c r="C125" s="852"/>
      <c r="D125" s="852"/>
      <c r="E125" s="852"/>
      <c r="F125" s="852"/>
      <c r="G125" s="852"/>
      <c r="H125" s="900"/>
      <c r="I125" s="900"/>
      <c r="J125" s="900"/>
      <c r="K125" s="900"/>
      <c r="L125" s="900"/>
      <c r="M125" s="852"/>
      <c r="N125" s="899"/>
      <c r="O125" s="966"/>
      <c r="P125" s="966"/>
      <c r="Q125" s="966"/>
      <c r="R125" s="966"/>
      <c r="S125" s="852"/>
      <c r="T125" s="852"/>
      <c r="U125" s="852"/>
      <c r="V125" s="852"/>
      <c r="W125" s="852"/>
      <c r="X125" s="852"/>
      <c r="Y125" s="1009"/>
      <c r="Z125" s="855"/>
      <c r="AA125" s="858"/>
      <c r="AB125" s="855"/>
      <c r="AC125" s="855"/>
      <c r="AD125" s="855"/>
    </row>
    <row customHeight="1" ht="9">
      <c r="A126" s="854"/>
      <c r="B126" s="854"/>
      <c r="C126" s="852"/>
      <c r="D126" s="852"/>
      <c r="E126" s="852"/>
      <c r="F126" s="852"/>
      <c r="G126" s="852"/>
      <c r="H126" s="900"/>
      <c r="I126" s="900"/>
      <c r="J126" s="900"/>
      <c r="K126" s="900"/>
      <c r="L126" s="900"/>
      <c r="M126" s="852"/>
      <c r="N126" s="899"/>
      <c r="O126" s="966"/>
      <c r="P126" s="966"/>
      <c r="Q126" s="966"/>
      <c r="R126" s="966"/>
      <c r="S126" s="852"/>
      <c r="T126" s="852"/>
      <c r="U126" s="852"/>
      <c r="V126" s="852"/>
      <c r="W126" s="852"/>
      <c r="X126" s="852"/>
      <c r="Y126" s="1009"/>
      <c r="Z126" s="855"/>
      <c r="AA126" s="858"/>
      <c r="AB126" s="855"/>
      <c r="AC126" s="855"/>
      <c r="AD126" s="855"/>
    </row>
    <row customHeight="1" ht="9">
      <c r="A127" s="854"/>
      <c r="B127" s="854"/>
      <c r="C127" s="852"/>
      <c r="D127" s="852"/>
      <c r="E127" s="852"/>
      <c r="F127" s="852"/>
      <c r="G127" s="852"/>
      <c r="H127" s="900"/>
      <c r="I127" s="900"/>
      <c r="J127" s="900"/>
      <c r="K127" s="900"/>
      <c r="L127" s="900"/>
      <c r="M127" s="852"/>
      <c r="N127" s="899"/>
      <c r="O127" s="966"/>
      <c r="P127" s="966"/>
      <c r="Q127" s="966"/>
      <c r="R127" s="966"/>
      <c r="S127" s="852"/>
      <c r="T127" s="852"/>
      <c r="U127" s="852"/>
      <c r="V127" s="852"/>
      <c r="W127" s="852"/>
      <c r="X127" s="852"/>
      <c r="Y127" s="1009"/>
      <c r="Z127" s="855"/>
      <c r="AA127" s="858"/>
      <c r="AB127" s="855"/>
      <c r="AC127" s="855"/>
      <c r="AD127" s="855"/>
    </row>
    <row customHeight="1" ht="9">
      <c r="A128" s="854"/>
      <c r="B128" s="854"/>
      <c r="C128" s="852"/>
      <c r="D128" s="852"/>
      <c r="E128" s="852"/>
      <c r="F128" s="852"/>
      <c r="G128" s="852"/>
      <c r="H128" s="900"/>
      <c r="I128" s="900"/>
      <c r="J128" s="900"/>
      <c r="K128" s="900"/>
      <c r="L128" s="900"/>
      <c r="M128" s="852"/>
      <c r="N128" s="899"/>
      <c r="O128" s="966"/>
      <c r="P128" s="966"/>
      <c r="Q128" s="966"/>
      <c r="R128" s="966"/>
      <c r="S128" s="852"/>
      <c r="T128" s="852"/>
      <c r="U128" s="852"/>
      <c r="V128" s="852"/>
      <c r="W128" s="852"/>
      <c r="X128" s="852"/>
      <c r="Y128" s="1009"/>
      <c r="Z128" s="855"/>
      <c r="AA128" s="858"/>
      <c r="AB128" s="855"/>
      <c r="AC128" s="855"/>
      <c r="AD128" s="855"/>
    </row>
    <row customHeight="1" ht="9">
      <c r="A129" s="854"/>
      <c r="B129" s="854"/>
      <c r="C129" s="852"/>
      <c r="D129" s="852"/>
      <c r="E129" s="852"/>
      <c r="F129" s="852"/>
      <c r="G129" s="852"/>
      <c r="H129" s="900"/>
      <c r="I129" s="900"/>
      <c r="J129" s="900"/>
      <c r="K129" s="900"/>
      <c r="L129" s="900"/>
      <c r="M129" s="852"/>
      <c r="N129" s="899"/>
      <c r="O129" s="966"/>
      <c r="P129" s="966"/>
      <c r="Q129" s="966"/>
      <c r="R129" s="966"/>
      <c r="S129" s="852"/>
      <c r="T129" s="852"/>
      <c r="U129" s="852"/>
      <c r="V129" s="852"/>
      <c r="W129" s="852"/>
      <c r="X129" s="852"/>
      <c r="Y129" s="1009"/>
      <c r="Z129" s="855"/>
      <c r="AA129" s="858"/>
      <c r="AB129" s="855"/>
      <c r="AC129" s="855"/>
      <c r="AD129" s="855"/>
    </row>
    <row customHeight="1" ht="9">
      <c r="A130" s="854"/>
      <c r="B130" s="854"/>
      <c r="C130" s="852"/>
      <c r="D130" s="852"/>
      <c r="E130" s="852"/>
      <c r="F130" s="852"/>
      <c r="G130" s="852"/>
      <c r="H130" s="900"/>
      <c r="I130" s="900"/>
      <c r="J130" s="900"/>
      <c r="K130" s="900"/>
      <c r="L130" s="900"/>
      <c r="M130" s="852"/>
      <c r="N130" s="899"/>
      <c r="O130" s="968"/>
      <c r="P130" s="968"/>
      <c r="Q130" s="968"/>
      <c r="R130" s="968"/>
      <c r="S130" s="852"/>
      <c r="T130" s="852"/>
      <c r="U130" s="852"/>
      <c r="V130" s="852"/>
      <c r="W130" s="852"/>
      <c r="X130" s="852"/>
      <c r="Y130" s="1009"/>
      <c r="Z130" s="855"/>
      <c r="AA130" s="858"/>
      <c r="AB130" s="855"/>
      <c r="AC130" s="855"/>
      <c r="AD130" s="855"/>
    </row>
    <row customHeight="1" ht="9">
      <c r="A131" s="854"/>
      <c r="B131" s="854"/>
      <c r="C131" s="852"/>
      <c r="D131" s="852"/>
      <c r="E131" s="852"/>
      <c r="F131" s="852"/>
      <c r="G131" s="852"/>
      <c r="H131" s="900"/>
      <c r="I131" s="900"/>
      <c r="J131" s="900"/>
      <c r="K131" s="900"/>
      <c r="L131" s="900"/>
      <c r="M131" s="852"/>
      <c r="N131" s="899"/>
      <c r="O131" s="969"/>
      <c r="P131" s="969"/>
      <c r="Q131" s="969"/>
      <c r="R131" s="969"/>
      <c r="S131" s="852"/>
      <c r="T131" s="852"/>
      <c r="U131" s="852"/>
      <c r="V131" s="852"/>
      <c r="W131" s="852"/>
      <c r="X131" s="852"/>
      <c r="Y131" s="1009"/>
      <c r="Z131" s="855"/>
      <c r="AA131" s="858"/>
      <c r="AB131" s="855"/>
      <c r="AC131" s="855"/>
      <c r="AD131" s="855"/>
    </row>
    <row customHeight="1" ht="9">
      <c r="A132" s="854"/>
      <c r="B132" s="854"/>
      <c r="C132" s="852"/>
      <c r="D132" s="852"/>
      <c r="E132" s="852"/>
      <c r="F132" s="852"/>
      <c r="G132" s="852"/>
      <c r="H132" s="900"/>
      <c r="I132" s="900"/>
      <c r="J132" s="900"/>
      <c r="K132" s="900"/>
      <c r="L132" s="900"/>
      <c r="M132" s="852"/>
      <c r="N132" s="899"/>
      <c r="O132" s="968"/>
      <c r="P132" s="968"/>
      <c r="Q132" s="968"/>
      <c r="R132" s="968"/>
      <c r="S132" s="852"/>
      <c r="T132" s="852"/>
      <c r="U132" s="852"/>
      <c r="V132" s="852"/>
      <c r="W132" s="852"/>
      <c r="X132" s="852"/>
      <c r="Y132" s="1009"/>
      <c r="Z132" s="855"/>
      <c r="AA132" s="858"/>
      <c r="AB132" s="855"/>
      <c r="AC132" s="855"/>
      <c r="AD132" s="855"/>
    </row>
    <row customHeight="1" ht="9">
      <c r="A133" s="854"/>
      <c r="B133" s="854"/>
      <c r="C133" s="852"/>
      <c r="D133" s="852"/>
      <c r="E133" s="852"/>
      <c r="F133" s="852"/>
      <c r="G133" s="852"/>
      <c r="H133" s="900"/>
      <c r="I133" s="900"/>
      <c r="J133" s="900"/>
      <c r="K133" s="900"/>
      <c r="L133" s="900"/>
      <c r="M133" s="852"/>
      <c r="N133" s="899"/>
      <c r="O133" s="969"/>
      <c r="P133" s="969"/>
      <c r="Q133" s="969"/>
      <c r="R133" s="969"/>
      <c r="S133" s="852"/>
      <c r="T133" s="852"/>
      <c r="U133" s="852"/>
      <c r="V133" s="852"/>
      <c r="W133" s="852"/>
      <c r="X133" s="852"/>
      <c r="Y133" s="1009"/>
      <c r="Z133" s="855"/>
      <c r="AA133" s="858"/>
      <c r="AB133" s="855"/>
      <c r="AC133" s="855"/>
      <c r="AD133" s="855"/>
    </row>
    <row customHeight="1" ht="9">
      <c r="A134" s="854"/>
      <c r="B134" s="854"/>
      <c r="C134" s="852"/>
      <c r="D134" s="852"/>
      <c r="E134" s="852"/>
      <c r="F134" s="852"/>
      <c r="G134" s="852"/>
      <c r="H134" s="900"/>
      <c r="I134" s="900"/>
      <c r="J134" s="900"/>
      <c r="K134" s="900"/>
      <c r="L134" s="900"/>
      <c r="M134" s="852"/>
      <c r="N134" s="899"/>
      <c r="O134" s="966"/>
      <c r="P134" s="966"/>
      <c r="Q134" s="966"/>
      <c r="R134" s="966"/>
      <c r="S134" s="852"/>
      <c r="T134" s="852"/>
      <c r="U134" s="852"/>
      <c r="V134" s="852"/>
      <c r="W134" s="852"/>
      <c r="X134" s="852"/>
      <c r="Y134" s="1009"/>
      <c r="Z134" s="855"/>
      <c r="AA134" s="858"/>
      <c r="AB134" s="855"/>
      <c r="AC134" s="855"/>
      <c r="AD134" s="855"/>
    </row>
    <row customHeight="1" ht="9">
      <c r="A135" s="854"/>
      <c r="B135" s="854"/>
      <c r="C135" s="852"/>
      <c r="D135" s="852"/>
      <c r="E135" s="852"/>
      <c r="F135" s="852"/>
      <c r="G135" s="852"/>
      <c r="H135" s="900"/>
      <c r="I135" s="900"/>
      <c r="J135" s="900"/>
      <c r="K135" s="900"/>
      <c r="L135" s="900"/>
      <c r="M135" s="852"/>
      <c r="N135" s="899"/>
      <c r="O135" s="966"/>
      <c r="P135" s="966"/>
      <c r="Q135" s="966"/>
      <c r="R135" s="966"/>
      <c r="S135" s="852"/>
      <c r="T135" s="852"/>
      <c r="U135" s="852"/>
      <c r="V135" s="852"/>
      <c r="W135" s="852"/>
      <c r="X135" s="852"/>
      <c r="Y135" s="1009"/>
      <c r="Z135" s="855"/>
      <c r="AA135" s="858"/>
      <c r="AB135" s="855"/>
      <c r="AC135" s="855"/>
      <c r="AD135" s="855"/>
    </row>
    <row customHeight="1" ht="9">
      <c r="A136" s="854"/>
      <c r="B136" s="854"/>
      <c r="C136" s="852"/>
      <c r="D136" s="852"/>
      <c r="E136" s="852"/>
      <c r="F136" s="852"/>
      <c r="G136" s="852"/>
      <c r="H136" s="900"/>
      <c r="I136" s="900"/>
      <c r="J136" s="900"/>
      <c r="K136" s="900"/>
      <c r="L136" s="900"/>
      <c r="M136" s="852"/>
      <c r="N136" s="899"/>
      <c r="O136" s="966"/>
      <c r="P136" s="966"/>
      <c r="Q136" s="966"/>
      <c r="R136" s="966"/>
      <c r="S136" s="852"/>
      <c r="T136" s="852"/>
      <c r="U136" s="852"/>
      <c r="V136" s="852"/>
      <c r="W136" s="852"/>
      <c r="X136" s="852"/>
      <c r="Y136" s="1009"/>
      <c r="Z136" s="855"/>
      <c r="AA136" s="858"/>
      <c r="AB136" s="855"/>
      <c r="AC136" s="855"/>
      <c r="AD136" s="855"/>
    </row>
    <row customHeight="1" ht="9">
      <c r="A137" s="854"/>
      <c r="B137" s="854"/>
      <c r="C137" s="852"/>
      <c r="D137" s="852"/>
      <c r="E137" s="852"/>
      <c r="F137" s="852"/>
      <c r="G137" s="852"/>
      <c r="H137" s="900"/>
      <c r="I137" s="900"/>
      <c r="J137" s="900"/>
      <c r="K137" s="900"/>
      <c r="L137" s="900"/>
      <c r="M137" s="852"/>
      <c r="N137" s="899"/>
      <c r="O137" s="970"/>
      <c r="P137" s="970"/>
      <c r="Q137" s="970"/>
      <c r="R137" s="970"/>
      <c r="S137" s="852"/>
      <c r="T137" s="852"/>
      <c r="U137" s="852"/>
      <c r="V137" s="852"/>
      <c r="W137" s="852"/>
      <c r="X137" s="852"/>
      <c r="Y137" s="1009"/>
      <c r="Z137" s="855"/>
      <c r="AA137" s="858"/>
      <c r="AB137" s="855"/>
      <c r="AC137" s="855"/>
      <c r="AD137" s="855"/>
    </row>
    <row customHeight="1" ht="9">
      <c r="A138" s="854"/>
      <c r="B138" s="854"/>
      <c r="C138" s="852"/>
      <c r="D138" s="852"/>
      <c r="E138" s="852"/>
      <c r="F138" s="852"/>
      <c r="G138" s="852"/>
      <c r="H138" s="900"/>
      <c r="I138" s="900"/>
      <c r="J138" s="900"/>
      <c r="K138" s="900"/>
      <c r="L138" s="900"/>
      <c r="M138" s="852"/>
      <c r="N138" s="899"/>
      <c r="O138" s="967"/>
      <c r="P138" s="967"/>
      <c r="Q138" s="967"/>
      <c r="R138" s="967"/>
      <c r="S138" s="852"/>
      <c r="T138" s="852"/>
      <c r="U138" s="852"/>
      <c r="V138" s="852"/>
      <c r="W138" s="852"/>
      <c r="X138" s="852"/>
      <c r="Y138" s="1009"/>
      <c r="Z138" s="855"/>
      <c r="AA138" s="858"/>
      <c r="AB138" s="855"/>
      <c r="AC138" s="855"/>
      <c r="AD138" s="855"/>
    </row>
    <row customHeight="1" ht="9">
      <c r="A139" s="854"/>
      <c r="B139" s="854"/>
      <c r="C139" s="852"/>
      <c r="D139" s="852"/>
      <c r="E139" s="852"/>
      <c r="F139" s="852"/>
      <c r="G139" s="852"/>
      <c r="H139" s="900"/>
      <c r="I139" s="900"/>
      <c r="J139" s="900"/>
      <c r="K139" s="900"/>
      <c r="L139" s="900"/>
      <c r="M139" s="852"/>
      <c r="N139" s="899"/>
      <c r="O139" s="852"/>
      <c r="P139" s="852"/>
      <c r="Q139" s="852"/>
      <c r="R139" s="852"/>
      <c r="S139" s="852"/>
      <c r="T139" s="852"/>
      <c r="U139" s="852"/>
      <c r="V139" s="852"/>
      <c r="W139" s="852"/>
      <c r="X139" s="852"/>
      <c r="Y139" s="1009"/>
      <c r="Z139" s="855"/>
      <c r="AA139" s="858"/>
      <c r="AB139" s="855"/>
      <c r="AC139" s="855"/>
      <c r="AD139" s="855"/>
    </row>
    <row customHeight="1" ht="9">
      <c r="A140" s="854"/>
      <c r="B140" s="854"/>
      <c r="C140" s="852"/>
      <c r="D140" s="852"/>
      <c r="E140" s="852"/>
      <c r="F140" s="852"/>
      <c r="G140" s="852"/>
      <c r="H140" s="900"/>
      <c r="I140" s="900"/>
      <c r="J140" s="900"/>
      <c r="K140" s="900"/>
      <c r="L140" s="900"/>
      <c r="M140" s="852"/>
      <c r="N140" s="899"/>
      <c r="O140" s="852"/>
      <c r="P140" s="852"/>
      <c r="Q140" s="852"/>
      <c r="R140" s="852"/>
      <c r="S140" s="852"/>
      <c r="T140" s="852"/>
      <c r="U140" s="852"/>
      <c r="V140" s="852"/>
      <c r="W140" s="852"/>
      <c r="X140" s="852"/>
      <c r="Y140" s="1009"/>
      <c r="Z140" s="855"/>
      <c r="AA140" s="858"/>
      <c r="AB140" s="855"/>
      <c r="AC140" s="855"/>
      <c r="AD140" s="855"/>
    </row>
    <row customHeight="1" ht="9">
      <c r="A141" s="854"/>
      <c r="B141" s="854"/>
      <c r="C141" s="852"/>
      <c r="D141" s="852"/>
      <c r="E141" s="852"/>
      <c r="F141" s="852"/>
      <c r="G141" s="852"/>
      <c r="H141" s="900"/>
      <c r="I141" s="900"/>
      <c r="J141" s="900"/>
      <c r="K141" s="900"/>
      <c r="L141" s="900"/>
      <c r="M141" s="852"/>
      <c r="N141" s="899"/>
      <c r="O141" s="852"/>
      <c r="P141" s="852"/>
      <c r="Q141" s="852"/>
      <c r="R141" s="852"/>
      <c r="S141" s="852"/>
      <c r="T141" s="852"/>
      <c r="U141" s="852"/>
      <c r="V141" s="852"/>
      <c r="W141" s="852"/>
      <c r="X141" s="852"/>
      <c r="Y141" s="1009"/>
      <c r="Z141" s="855"/>
      <c r="AA141" s="858"/>
      <c r="AB141" s="855"/>
      <c r="AC141" s="855"/>
      <c r="AD141" s="855"/>
    </row>
    <row customHeight="1" ht="9">
      <c r="A142" s="854"/>
      <c r="B142" s="854"/>
      <c r="C142" s="852"/>
      <c r="D142" s="852"/>
      <c r="E142" s="852"/>
      <c r="F142" s="852"/>
      <c r="G142" s="852"/>
      <c r="H142" s="900"/>
      <c r="I142" s="900"/>
      <c r="J142" s="900"/>
      <c r="K142" s="900"/>
      <c r="L142" s="900"/>
      <c r="M142" s="852"/>
      <c r="N142" s="899"/>
      <c r="O142" s="852"/>
      <c r="P142" s="852"/>
      <c r="Q142" s="852"/>
      <c r="R142" s="852"/>
      <c r="S142" s="852"/>
      <c r="T142" s="852"/>
      <c r="U142" s="852"/>
      <c r="V142" s="852"/>
      <c r="W142" s="852"/>
      <c r="X142" s="852"/>
      <c r="Y142" s="1009"/>
      <c r="Z142" s="855"/>
      <c r="AA142" s="858"/>
      <c r="AB142" s="855"/>
      <c r="AC142" s="855"/>
      <c r="AD142" s="855"/>
    </row>
    <row customHeight="1" ht="9">
      <c r="A143" s="854"/>
      <c r="B143" s="854"/>
      <c r="C143" s="852"/>
      <c r="D143" s="852"/>
      <c r="E143" s="852"/>
      <c r="F143" s="852"/>
      <c r="G143" s="852"/>
      <c r="H143" s="900"/>
      <c r="I143" s="900"/>
      <c r="J143" s="900"/>
      <c r="K143" s="900"/>
      <c r="L143" s="900"/>
      <c r="M143" s="852"/>
      <c r="N143" s="899"/>
      <c r="O143" s="852"/>
      <c r="P143" s="852"/>
      <c r="Q143" s="852"/>
      <c r="R143" s="852"/>
      <c r="S143" s="852"/>
      <c r="T143" s="852"/>
      <c r="U143" s="852"/>
      <c r="V143" s="852"/>
      <c r="W143" s="852"/>
      <c r="X143" s="852"/>
      <c r="Y143" s="1009"/>
      <c r="Z143" s="855"/>
      <c r="AA143" s="858"/>
      <c r="AB143" s="855"/>
      <c r="AC143" s="855"/>
      <c r="AD143" s="855"/>
    </row>
    <row customHeight="1" ht="9">
      <c r="A144" s="854"/>
      <c r="B144" s="854"/>
      <c r="C144" s="852"/>
      <c r="D144" s="852"/>
      <c r="E144" s="852"/>
      <c r="F144" s="852"/>
      <c r="G144" s="852"/>
      <c r="H144" s="900"/>
      <c r="I144" s="900"/>
      <c r="J144" s="900"/>
      <c r="K144" s="900"/>
      <c r="L144" s="900"/>
      <c r="M144" s="852"/>
      <c r="N144" s="899"/>
      <c r="O144" s="852"/>
      <c r="P144" s="852"/>
      <c r="Q144" s="852"/>
      <c r="R144" s="852"/>
      <c r="S144" s="852"/>
      <c r="T144" s="852"/>
      <c r="U144" s="852"/>
      <c r="V144" s="852"/>
      <c r="W144" s="852"/>
      <c r="X144" s="852"/>
      <c r="Y144" s="1009"/>
      <c r="Z144" s="855"/>
      <c r="AA144" s="858"/>
      <c r="AB144" s="855"/>
      <c r="AC144" s="855"/>
      <c r="AD144" s="855"/>
    </row>
    <row customHeight="1" ht="9">
      <c r="A145" s="854"/>
      <c r="B145" s="854"/>
      <c r="C145" s="852"/>
      <c r="D145" s="852"/>
      <c r="E145" s="852"/>
      <c r="F145" s="852"/>
      <c r="G145" s="852"/>
      <c r="H145" s="900"/>
      <c r="I145" s="900"/>
      <c r="J145" s="900"/>
      <c r="K145" s="900"/>
      <c r="L145" s="900"/>
      <c r="M145" s="852"/>
      <c r="N145" s="899"/>
      <c r="O145" s="852"/>
      <c r="P145" s="852"/>
      <c r="Q145" s="852"/>
      <c r="R145" s="852"/>
      <c r="S145" s="852"/>
      <c r="T145" s="852"/>
      <c r="U145" s="852"/>
      <c r="V145" s="852"/>
      <c r="W145" s="852"/>
      <c r="X145" s="852"/>
      <c r="Y145" s="1009"/>
      <c r="Z145" s="855"/>
      <c r="AA145" s="858"/>
      <c r="AB145" s="855"/>
      <c r="AC145" s="855"/>
      <c r="AD145" s="855"/>
    </row>
    <row customHeight="1" ht="9">
      <c r="A146" s="854"/>
      <c r="B146" s="854"/>
      <c r="C146" s="852"/>
      <c r="D146" s="852"/>
      <c r="E146" s="852"/>
      <c r="F146" s="852"/>
      <c r="G146" s="852"/>
      <c r="H146" s="900"/>
      <c r="I146" s="900"/>
      <c r="J146" s="900"/>
      <c r="K146" s="900"/>
      <c r="L146" s="900"/>
      <c r="M146" s="852"/>
      <c r="N146" s="899"/>
      <c r="O146" s="852"/>
      <c r="P146" s="852"/>
      <c r="Q146" s="852"/>
      <c r="R146" s="852"/>
      <c r="S146" s="852"/>
      <c r="T146" s="852"/>
      <c r="U146" s="852"/>
      <c r="V146" s="852"/>
      <c r="W146" s="852"/>
      <c r="X146" s="852"/>
      <c r="Y146" s="1009"/>
      <c r="Z146" s="855"/>
      <c r="AA146" s="858"/>
      <c r="AB146" s="855"/>
      <c r="AC146" s="855"/>
      <c r="AD146" s="855"/>
    </row>
    <row customHeight="1" ht="9">
      <c r="A147" s="854"/>
      <c r="B147" s="854"/>
      <c r="C147" s="854"/>
      <c r="D147" s="854"/>
      <c r="E147" s="854"/>
      <c r="F147" s="854"/>
      <c r="G147" s="854"/>
      <c r="H147" s="854"/>
      <c r="I147" s="854"/>
      <c r="J147" s="854"/>
      <c r="K147" s="854"/>
      <c r="L147" s="854"/>
      <c r="M147" s="854"/>
      <c r="N147" s="854"/>
      <c r="O147" s="854"/>
      <c r="P147" s="854"/>
      <c r="Q147" s="854"/>
      <c r="R147" s="854"/>
      <c r="S147" s="854"/>
      <c r="T147" s="854"/>
      <c r="U147" s="854"/>
      <c r="V147" s="854"/>
      <c r="W147" s="854"/>
      <c r="X147" s="854"/>
      <c r="Y147" s="854"/>
      <c r="Z147" s="854"/>
      <c r="AA147" s="854"/>
      <c r="AB147" s="854"/>
      <c r="AC147" s="854"/>
      <c r="AD147" s="854"/>
    </row>
    <row customHeight="1" ht="90">
      <c r="A148" s="854" t="s">
        <v>1922</v>
      </c>
      <c r="B148" s="854"/>
      <c r="C148" s="852" t="s">
        <v>2462</v>
      </c>
      <c r="D148" s="852" t="s">
        <v>1142</v>
      </c>
      <c r="E148" s="852" t="s">
        <v>1099</v>
      </c>
      <c r="F148" s="852" t="s">
        <v>1238</v>
      </c>
      <c r="G148" s="852"/>
      <c r="H148" s="852"/>
      <c r="I148" s="972"/>
      <c r="J148" s="972"/>
      <c r="K148" s="972"/>
      <c r="L148" s="972"/>
      <c r="M148" s="90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857"/>
      <c r="O148" s="852"/>
      <c r="P148" s="853"/>
      <c r="Q148" s="853"/>
      <c r="R148" s="853"/>
      <c r="S148" s="852"/>
      <c r="T148" s="852" t="s">
        <v>2463</v>
      </c>
      <c r="U148" s="85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853"/>
      <c r="W148" s="853"/>
      <c r="X148" s="852" t="s">
        <v>2464</v>
      </c>
      <c r="Y148" s="1009"/>
      <c r="Z148" s="855"/>
      <c r="AA148" s="858"/>
      <c r="AB148" s="855"/>
      <c r="AC148" s="855"/>
      <c r="AD148" s="855"/>
    </row>
    <row customHeight="1" ht="9">
      <c r="A149" s="854"/>
      <c r="B149" s="854"/>
      <c r="C149" s="854"/>
      <c r="D149" s="854"/>
      <c r="E149" s="854"/>
      <c r="F149" s="854"/>
      <c r="G149" s="854"/>
      <c r="H149" s="854"/>
      <c r="I149" s="854"/>
      <c r="J149" s="854"/>
      <c r="K149" s="854"/>
      <c r="L149" s="854"/>
      <c r="M149" s="854"/>
      <c r="N149" s="854"/>
      <c r="O149" s="854"/>
      <c r="P149" s="854"/>
      <c r="Q149" s="854"/>
      <c r="R149" s="854"/>
      <c r="S149" s="854"/>
      <c r="T149" s="854"/>
      <c r="U149" s="854"/>
      <c r="V149" s="854"/>
      <c r="W149" s="854"/>
      <c r="X149" s="854"/>
      <c r="Y149" s="854"/>
      <c r="Z149" s="854"/>
      <c r="AA149" s="854"/>
      <c r="AB149" s="854"/>
      <c r="AC149" s="854"/>
      <c r="AD149" s="854"/>
    </row>
    <row customHeight="1" ht="9">
      <c r="A150" s="854" t="s">
        <v>1925</v>
      </c>
      <c r="B150" s="854"/>
      <c r="C150" s="852"/>
      <c r="D150" s="852"/>
      <c r="E150" s="852"/>
      <c r="F150" s="852"/>
      <c r="G150" s="852"/>
      <c r="H150" s="852"/>
      <c r="I150" s="852"/>
      <c r="J150" s="852"/>
      <c r="K150" s="852"/>
      <c r="L150" s="852"/>
      <c r="M150" s="852"/>
      <c r="N150" s="852"/>
      <c r="O150" s="852"/>
      <c r="P150" s="852"/>
      <c r="Q150" s="852"/>
      <c r="R150" s="852"/>
      <c r="S150" s="852"/>
      <c r="T150" s="852"/>
      <c r="U150" s="852"/>
      <c r="V150" s="852"/>
      <c r="W150" s="852"/>
      <c r="X150" s="852"/>
      <c r="Y150" s="1009"/>
      <c r="Z150" s="855"/>
      <c r="AA150" s="858"/>
      <c r="AB150" s="855"/>
      <c r="AC150" s="855"/>
      <c r="AD150" s="855"/>
    </row>
    <row customHeight="1" ht="9">
      <c r="A151" s="854"/>
      <c r="B151" s="854"/>
      <c r="C151" s="854"/>
      <c r="D151" s="854"/>
      <c r="E151" s="854"/>
      <c r="F151" s="854"/>
      <c r="G151" s="854"/>
      <c r="H151" s="854"/>
      <c r="I151" s="854"/>
      <c r="J151" s="854"/>
      <c r="K151" s="854"/>
      <c r="L151" s="854"/>
      <c r="M151" s="854"/>
      <c r="N151" s="854"/>
      <c r="O151" s="854"/>
      <c r="P151" s="854"/>
      <c r="Q151" s="854"/>
      <c r="R151" s="854"/>
      <c r="S151" s="854"/>
      <c r="T151" s="854"/>
      <c r="U151" s="854"/>
      <c r="V151" s="854"/>
      <c r="W151" s="854"/>
      <c r="X151" s="854"/>
      <c r="Y151" s="854"/>
      <c r="Z151" s="854"/>
      <c r="AA151" s="854"/>
      <c r="AB151" s="854"/>
      <c r="AC151" s="854"/>
      <c r="AD151" s="854"/>
    </row>
    <row customHeight="1" ht="9">
      <c r="A152" s="854" t="s">
        <v>1927</v>
      </c>
      <c r="B152" s="854"/>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1009"/>
      <c r="Z152" s="855"/>
      <c r="AA152" s="858"/>
      <c r="AB152" s="855"/>
      <c r="AC152" s="855"/>
      <c r="AD152" s="855"/>
    </row>
    <row customHeight="1" ht="9">
      <c r="A153" s="854"/>
      <c r="B153" s="854"/>
      <c r="C153" s="854"/>
      <c r="D153" s="854"/>
      <c r="E153" s="854"/>
      <c r="F153" s="854"/>
      <c r="G153" s="854"/>
      <c r="H153" s="854"/>
      <c r="I153" s="854"/>
      <c r="J153" s="854"/>
      <c r="K153" s="854"/>
      <c r="L153" s="854"/>
      <c r="M153" s="854"/>
      <c r="N153" s="854"/>
      <c r="O153" s="854"/>
      <c r="P153" s="854"/>
      <c r="Q153" s="854"/>
      <c r="R153" s="854"/>
      <c r="S153" s="854"/>
      <c r="T153" s="854"/>
      <c r="U153" s="854"/>
      <c r="V153" s="854"/>
      <c r="W153" s="854"/>
      <c r="X153" s="854"/>
      <c r="Y153" s="854"/>
      <c r="Z153" s="854"/>
      <c r="AA153" s="854"/>
      <c r="AB153" s="854"/>
      <c r="AC153" s="854"/>
      <c r="AD153" s="854"/>
    </row>
    <row customHeight="1" ht="9">
      <c r="A154" s="854" t="s">
        <v>1931</v>
      </c>
      <c r="B154" s="854"/>
      <c r="C154" s="852"/>
      <c r="D154" s="852"/>
      <c r="E154" s="852"/>
      <c r="F154" s="852"/>
      <c r="G154" s="852"/>
      <c r="H154" s="852"/>
      <c r="I154" s="852"/>
      <c r="J154" s="852"/>
      <c r="K154" s="852"/>
      <c r="L154" s="852"/>
      <c r="M154" s="852"/>
      <c r="N154" s="852"/>
      <c r="O154" s="852"/>
      <c r="P154" s="852"/>
      <c r="Q154" s="852"/>
      <c r="R154" s="852"/>
      <c r="S154" s="852"/>
      <c r="T154" s="852"/>
      <c r="U154" s="852"/>
      <c r="V154" s="852"/>
      <c r="W154" s="852"/>
      <c r="X154" s="852"/>
      <c r="Y154" s="1009"/>
      <c r="Z154" s="855"/>
      <c r="AA154" s="858"/>
      <c r="AB154" s="855"/>
      <c r="AC154" s="855"/>
      <c r="AD154" s="855"/>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7BBFE3-F9C5-C9E1-AB05-0.35D2103A}"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75" width="10.57421875" hidden="1"/>
    <col min="2" max="2" style="1375" width="11.00390625" hidden="1" customWidth="1"/>
    <col min="3" max="3" style="1375" width="10.57421875" hidden="1"/>
    <col min="4" max="4" style="1375" width="11.8515625" hidden="1" customWidth="1"/>
    <col min="5" max="5" style="1375" width="12.28125" hidden="1" customWidth="1"/>
    <col min="6" max="8" style="1784" width="12.28125" hidden="1" customWidth="1"/>
    <col min="9" max="9" style="2425" width="3.00390625" customWidth="1"/>
    <col min="10" max="11" style="353" width="3.00390625" customWidth="1"/>
    <col min="12" max="12" style="2435" width="12.00390625" customWidth="1"/>
    <col min="13" max="13" style="1644" width="31.00390625" customWidth="1"/>
    <col min="14" max="14" style="1644" width="1.00390625" customWidth="1"/>
    <col min="15" max="18" style="1644" width="24.00390625" customWidth="1"/>
    <col min="19" max="19" style="1644" width="11.00390625" customWidth="1"/>
    <col min="20" max="20" style="1644" width="3.7109375" customWidth="1"/>
    <col min="21" max="21" style="1644" width="11.00390625" customWidth="1"/>
    <col min="22" max="22" style="1644" width="8.57421875" customWidth="1"/>
    <col min="23" max="23" style="1644" width="4.00390625" customWidth="1"/>
    <col min="24" max="24" style="1644" width="115.00390625" customWidth="1"/>
    <col min="25" max="29" style="1651" width="10.00390625" customWidth="1"/>
    <col min="30" max="30" style="1644" width="10.57421875" hidden="1"/>
  </cols>
  <sheetData>
    <row customHeight="1" ht="22.5" hidden="1">
      <c r="R1" s="336"/>
      <c r="S1" s="336"/>
      <c r="AD1" s="1164" t="s">
        <v>14</v>
      </c>
    </row>
    <row customHeight="1" ht="14.25" hidden="1">
      <c r="V2" s="336"/>
      <c r="AD2" s="1164">
        <v>0</v>
      </c>
    </row>
    <row customHeight="1" ht="14.25" hidden="1">
      <c r="AD3" s="1164">
        <v>0</v>
      </c>
    </row>
    <row customHeight="1" ht="14.699999999999998">
      <c r="J4" s="385"/>
      <c r="K4" s="385"/>
      <c r="L4" s="1284"/>
      <c r="M4" s="372"/>
      <c r="N4" s="372"/>
      <c r="O4" s="518"/>
      <c r="P4" s="518"/>
      <c r="Q4" s="518"/>
      <c r="R4" s="518"/>
      <c r="S4" s="518"/>
      <c r="T4" s="518"/>
      <c r="U4" s="518"/>
      <c r="V4" s="518"/>
      <c r="AD4" s="1164">
        <v>14</v>
      </c>
    </row>
    <row customHeight="1" ht="67.2">
      <c r="J5" s="385"/>
      <c r="K5" s="385"/>
      <c r="L5" s="2631" t="s">
        <v>2465</v>
      </c>
      <c r="M5" s="2631"/>
      <c r="N5" s="2631"/>
      <c r="O5" s="2631"/>
      <c r="P5" s="2631"/>
      <c r="Q5" s="2631"/>
      <c r="R5" s="2631"/>
      <c r="S5" s="2631"/>
      <c r="T5" s="2631"/>
      <c r="U5" s="2631"/>
      <c r="V5" s="1252"/>
      <c r="AD5" s="1164">
        <v>64</v>
      </c>
    </row>
    <row customHeight="1" ht="14.699999999999998">
      <c r="J6" s="385"/>
      <c r="K6" s="385"/>
      <c r="L6" s="2632" t="str">
        <f>IF(org=0,"Не определено",org)</f>
        <v>АО "ДГК"</v>
      </c>
      <c r="M6" s="2632"/>
      <c r="N6" s="2632"/>
      <c r="O6" s="2632"/>
      <c r="P6" s="2632"/>
      <c r="Q6" s="2632"/>
      <c r="R6" s="2632"/>
      <c r="S6" s="2632"/>
      <c r="T6" s="2632"/>
      <c r="U6" s="2632"/>
      <c r="V6" s="1252"/>
      <c r="AD6" s="1164">
        <v>14</v>
      </c>
    </row>
    <row customHeight="1" ht="14.699999999999998">
      <c r="J7" s="385"/>
      <c r="K7" s="385"/>
      <c r="L7" s="1284"/>
      <c r="M7" s="372"/>
      <c r="N7" s="372"/>
      <c r="O7" s="331"/>
      <c r="P7" s="331"/>
      <c r="Q7" s="331"/>
      <c r="R7" s="331"/>
      <c r="S7" s="331"/>
      <c r="T7" s="331"/>
      <c r="U7" s="331"/>
      <c r="V7" s="331"/>
      <c r="W7" s="518"/>
      <c r="AD7" s="1164">
        <v>14</v>
      </c>
    </row>
    <row s="1859" customFormat="1" customHeight="1" ht="48.29999999999999">
      <c r="A8" s="1377"/>
      <c r="B8" s="1377"/>
      <c r="C8" s="1377"/>
      <c r="D8" s="1377"/>
      <c r="E8" s="1377"/>
      <c r="F8" s="1377"/>
      <c r="G8" s="1377"/>
      <c r="H8" s="1377"/>
      <c r="L8" s="1285"/>
      <c r="M8" s="304" t="s">
        <v>42</v>
      </c>
      <c r="N8" s="313"/>
      <c r="O8" s="2279" t="str">
        <f>IF(TITLE_NAME_OR_PR_CHANGE="",IF(TITLE_NAME_OR_PR="","",TITLE_NAME_OR_PR),TITLE_NAME_OR_PR_CHANGE)</f>
        <v/>
      </c>
      <c r="P8" s="2279"/>
      <c r="Q8" s="2279"/>
      <c r="R8" s="2279"/>
      <c r="S8" s="2279"/>
      <c r="T8" s="2279"/>
      <c r="U8" s="2279"/>
      <c r="V8" s="335"/>
      <c r="W8" s="335"/>
      <c r="X8" s="289"/>
      <c r="Y8" s="377"/>
      <c r="Z8" s="377"/>
      <c r="AA8" s="377"/>
      <c r="AB8" s="377"/>
      <c r="AC8" s="377"/>
      <c r="AD8" s="427">
        <v>46</v>
      </c>
    </row>
    <row s="1859" customFormat="1" customHeight="1" ht="24">
      <c r="A9" s="1377"/>
      <c r="B9" s="1377"/>
      <c r="C9" s="1377"/>
      <c r="D9" s="1377"/>
      <c r="E9" s="1377"/>
      <c r="F9" s="1377"/>
      <c r="G9" s="1377"/>
      <c r="H9" s="1377"/>
      <c r="L9" s="1285"/>
      <c r="M9" s="304" t="s">
        <v>518</v>
      </c>
      <c r="N9" s="313"/>
      <c r="O9" s="2279" t="str">
        <f>IF(TITLE_DATE_CHANGE_PERIOD="",IF(TITLE_DATE_PR="","",TITLE_DATE_PR),TITLE_DATE_CHANGE_PERIOD)</f>
        <v/>
      </c>
      <c r="P9" s="2279"/>
      <c r="Q9" s="2279"/>
      <c r="R9" s="2279"/>
      <c r="S9" s="2279"/>
      <c r="T9" s="2279"/>
      <c r="U9" s="2279"/>
      <c r="V9" s="335"/>
      <c r="W9" s="335"/>
      <c r="X9" s="289"/>
      <c r="Y9" s="377"/>
      <c r="Z9" s="377"/>
      <c r="AA9" s="377"/>
      <c r="AB9" s="377"/>
      <c r="AC9" s="377"/>
      <c r="AD9" s="427">
        <v>23</v>
      </c>
    </row>
    <row s="1859" customFormat="1" customHeight="1" ht="24">
      <c r="A10" s="1377"/>
      <c r="B10" s="1377"/>
      <c r="C10" s="1377"/>
      <c r="D10" s="1377"/>
      <c r="E10" s="1377"/>
      <c r="F10" s="1377"/>
      <c r="G10" s="1377"/>
      <c r="H10" s="1377"/>
      <c r="L10" s="1259"/>
      <c r="M10" s="304" t="s">
        <v>519</v>
      </c>
      <c r="N10" s="313"/>
      <c r="O10" s="2279" t="str">
        <f>IF(TITLE_NUMBER_PR_CHANGE="",IF(TITLE_NUMBER_PR="","",TITLE_NUMBER_PR),TITLE_NUMBER_PR_CHANGE)</f>
        <v/>
      </c>
      <c r="P10" s="2279"/>
      <c r="Q10" s="2279"/>
      <c r="R10" s="2279"/>
      <c r="S10" s="2279"/>
      <c r="T10" s="2279"/>
      <c r="U10" s="2279"/>
      <c r="V10" s="335"/>
      <c r="W10" s="335"/>
      <c r="X10" s="289"/>
      <c r="Y10" s="377"/>
      <c r="Z10" s="377"/>
      <c r="AA10" s="377"/>
      <c r="AB10" s="377"/>
      <c r="AC10" s="377"/>
      <c r="AD10" s="427">
        <v>23</v>
      </c>
    </row>
    <row s="1859" customFormat="1" customHeight="1" ht="24">
      <c r="A11" s="1377"/>
      <c r="B11" s="1377"/>
      <c r="C11" s="1377"/>
      <c r="D11" s="1377"/>
      <c r="E11" s="1377"/>
      <c r="F11" s="1377"/>
      <c r="G11" s="1377"/>
      <c r="H11" s="1377"/>
      <c r="L11" s="1259"/>
      <c r="M11" s="304" t="s">
        <v>43</v>
      </c>
      <c r="N11" s="313"/>
      <c r="O11" s="2279" t="str">
        <f>IF(TITLE_IST_PUB_CHANGE="",IF(TITLE_IST_PUB="","",TITLE_IST_PUB),TITLE_IST_PUB_CHANGE)</f>
        <v/>
      </c>
      <c r="P11" s="2279"/>
      <c r="Q11" s="2279"/>
      <c r="R11" s="2279"/>
      <c r="S11" s="2279"/>
      <c r="T11" s="2279"/>
      <c r="U11" s="2279"/>
      <c r="V11" s="335"/>
      <c r="W11" s="335"/>
      <c r="X11" s="289"/>
      <c r="Y11" s="377"/>
      <c r="Z11" s="377"/>
      <c r="AA11" s="377"/>
      <c r="AB11" s="377"/>
      <c r="AC11" s="377"/>
      <c r="AD11" s="427">
        <v>23</v>
      </c>
    </row>
    <row s="1859" customFormat="1" customHeight="1" ht="11.25" hidden="1">
      <c r="A12" s="1377"/>
      <c r="B12" s="1377"/>
      <c r="C12" s="1377"/>
      <c r="D12" s="1377"/>
      <c r="E12" s="1377"/>
      <c r="F12" s="1377"/>
      <c r="G12" s="1377"/>
      <c r="H12" s="1377"/>
      <c r="L12" s="2633"/>
      <c r="M12" s="2633"/>
      <c r="N12" s="1296"/>
      <c r="O12" s="335"/>
      <c r="P12" s="335"/>
      <c r="Q12" s="335"/>
      <c r="R12" s="335"/>
      <c r="S12" s="335"/>
      <c r="T12" s="335"/>
      <c r="U12" s="335"/>
      <c r="V12" s="287" t="s">
        <v>438</v>
      </c>
      <c r="Y12" s="377"/>
      <c r="Z12" s="377"/>
      <c r="AA12" s="377"/>
      <c r="AB12" s="377"/>
      <c r="AC12" s="377"/>
      <c r="AD12" s="427">
        <v>0</v>
      </c>
    </row>
    <row customHeight="1" ht="14.699999999999998">
      <c r="J13" s="385"/>
      <c r="K13" s="385"/>
      <c r="L13" s="1284"/>
      <c r="M13" s="372"/>
      <c r="N13" s="1253"/>
      <c r="O13" s="2280"/>
      <c r="P13" s="2280"/>
      <c r="Q13" s="2280"/>
      <c r="R13" s="2280"/>
      <c r="S13" s="2280"/>
      <c r="T13" s="2280"/>
      <c r="U13" s="2280"/>
      <c r="V13" s="2280"/>
      <c r="AD13" s="1164">
        <v>14</v>
      </c>
    </row>
    <row customHeight="1" ht="14.699999999999998">
      <c r="J14" s="385"/>
      <c r="K14" s="385"/>
      <c r="L14" s="2155" t="s">
        <v>315</v>
      </c>
      <c r="M14" s="2155"/>
      <c r="N14" s="2155"/>
      <c r="O14" s="2155"/>
      <c r="P14" s="2155"/>
      <c r="Q14" s="2155"/>
      <c r="R14" s="2155"/>
      <c r="S14" s="2155"/>
      <c r="T14" s="2155"/>
      <c r="U14" s="2155"/>
      <c r="V14" s="2155"/>
      <c r="W14" s="2155"/>
      <c r="X14" s="2155" t="s">
        <v>316</v>
      </c>
      <c r="AD14" s="1164">
        <v>14</v>
      </c>
    </row>
    <row customHeight="1" ht="14.699999999999998">
      <c r="J15" s="385"/>
      <c r="K15" s="385"/>
      <c r="L15" s="2301" t="s">
        <v>89</v>
      </c>
      <c r="M15" s="2237" t="s">
        <v>439</v>
      </c>
      <c r="N15" s="310"/>
      <c r="O15" s="2302" t="s">
        <v>2466</v>
      </c>
      <c r="P15" s="2303"/>
      <c r="Q15" s="2303"/>
      <c r="R15" s="2303"/>
      <c r="S15" s="2303"/>
      <c r="T15" s="2303"/>
      <c r="U15" s="2304"/>
      <c r="V15" s="2305" t="s">
        <v>441</v>
      </c>
      <c r="W15" s="2308" t="s">
        <v>1457</v>
      </c>
      <c r="X15" s="2155"/>
      <c r="AD15" s="1164">
        <v>14</v>
      </c>
    </row>
    <row customHeight="1" ht="35.699999999999996">
      <c r="J16" s="385"/>
      <c r="K16" s="385"/>
      <c r="L16" s="2301"/>
      <c r="M16" s="2237"/>
      <c r="N16" s="1040"/>
      <c r="O16" s="2288" t="s">
        <v>444</v>
      </c>
      <c r="P16" s="2288" t="s">
        <v>445</v>
      </c>
      <c r="Q16" s="2290" t="s">
        <v>446</v>
      </c>
      <c r="R16" s="2291"/>
      <c r="S16" s="2290" t="s">
        <v>460</v>
      </c>
      <c r="T16" s="2297"/>
      <c r="U16" s="2291"/>
      <c r="V16" s="2306"/>
      <c r="W16" s="2309"/>
      <c r="X16" s="2155"/>
      <c r="AD16" s="1164">
        <v>34</v>
      </c>
    </row>
    <row customHeight="1" ht="35.699999999999996">
      <c r="A17" s="1379" t="s">
        <v>151</v>
      </c>
      <c r="B17" s="1379" t="s">
        <v>152</v>
      </c>
      <c r="C17" s="1379" t="s">
        <v>153</v>
      </c>
      <c r="D17" s="1379" t="s">
        <v>154</v>
      </c>
      <c r="E17" s="1379"/>
      <c r="J17" s="385"/>
      <c r="K17" s="385"/>
      <c r="L17" s="2301"/>
      <c r="M17" s="2237"/>
      <c r="N17" s="311"/>
      <c r="O17" s="2289"/>
      <c r="P17" s="2289"/>
      <c r="Q17" s="1231" t="s">
        <v>455</v>
      </c>
      <c r="R17" s="1231" t="s">
        <v>456</v>
      </c>
      <c r="S17" s="1301" t="s">
        <v>457</v>
      </c>
      <c r="T17" s="2298" t="s">
        <v>458</v>
      </c>
      <c r="U17" s="2299"/>
      <c r="V17" s="2307"/>
      <c r="W17" s="2310"/>
      <c r="X17" s="2155"/>
      <c r="AD17" s="1164">
        <v>34</v>
      </c>
    </row>
    <row s="1650" customFormat="1" customHeight="1" ht="11.549999999999999">
      <c r="A18" s="1379"/>
      <c r="B18" s="1379"/>
      <c r="C18" s="1379"/>
      <c r="D18" s="1379"/>
      <c r="E18" s="1379"/>
      <c r="F18" s="1371"/>
      <c r="G18" s="1371"/>
      <c r="H18" s="1371"/>
      <c r="I18" s="1255"/>
      <c r="J18" s="1256"/>
      <c r="K18" s="1263">
        <v>1</v>
      </c>
      <c r="L18" s="1286" t="s">
        <v>118</v>
      </c>
      <c r="M18" s="1264" t="s">
        <v>103</v>
      </c>
      <c r="N18" s="1254" t="str">
        <f>OFFSET(N18,0,-1)</f>
        <v>2</v>
      </c>
      <c r="O18" s="1298">
        <f>OFFSET(O18,0,-1)+1</f>
        <v>3</v>
      </c>
      <c r="P18" s="1298"/>
      <c r="Q18" s="1298">
        <f>OFFSET(Q18,0,-1)+1</f>
        <v>1</v>
      </c>
      <c r="R18" s="1298">
        <f>OFFSET(R18,0,-1)+1</f>
        <v>2</v>
      </c>
      <c r="S18" s="1298">
        <f>OFFSET(S18,0,-1)+1</f>
        <v>3</v>
      </c>
      <c r="T18" s="2300">
        <f>OFFSET(T18,0,-1)+1</f>
        <v>4</v>
      </c>
      <c r="U18" s="2300"/>
      <c r="V18" s="1298">
        <f>OFFSET(V18,0,-2)+1</f>
        <v>5</v>
      </c>
      <c r="W18" s="1254">
        <f>OFFSET(W18,0,-1)</f>
        <v>5</v>
      </c>
      <c r="X18" s="1298">
        <f>OFFSET(X18,0,-1)+1</f>
        <v>6</v>
      </c>
      <c r="Y18" s="520"/>
      <c r="Z18" s="520"/>
      <c r="AA18" s="520"/>
      <c r="AB18" s="520"/>
      <c r="AC18" s="520"/>
      <c r="AD18" s="505">
        <v>11</v>
      </c>
    </row>
    <row customHeight="1" ht="21">
      <c r="A19" s="1372" t="s">
        <v>185</v>
      </c>
      <c r="B19" s="1372" t="s">
        <v>186</v>
      </c>
      <c r="C19" s="1372" t="s">
        <v>187</v>
      </c>
      <c r="D19" s="1372" t="s">
        <v>188</v>
      </c>
      <c r="E19" s="1372"/>
      <c r="F19" s="1374"/>
      <c r="G19" s="1374"/>
      <c r="H19" s="1374"/>
      <c r="I19" s="370"/>
      <c r="J19" s="369"/>
      <c r="K19" s="364"/>
      <c r="L19" s="1302">
        <f>INDEX(PT_DIFFERENTIATION_NUM_NTAR,MATCH(A19,PT_DIFFERENTIATION_NTAR_ID,0))</f>
        <v>0</v>
      </c>
      <c r="M19" s="307" t="s">
        <v>140</v>
      </c>
      <c r="N19" s="309"/>
      <c r="O19" s="2634" t="str">
        <f>INDEX(PT_DIFFERENTIATION_NTAR,MATCH(A19,PT_DIFFERENTIATION_NTAR_ID,0))</f>
        <v/>
      </c>
      <c r="P19" s="2634"/>
      <c r="Q19" s="2634"/>
      <c r="R19" s="2634"/>
      <c r="S19" s="2634"/>
      <c r="T19" s="2634"/>
      <c r="U19" s="2634"/>
      <c r="V19" s="2634"/>
      <c r="W19" s="2634"/>
      <c r="X19" s="1267" t="s">
        <v>411</v>
      </c>
      <c r="Z19" s="509"/>
      <c r="AA19" s="509" t="str">
        <f>IF(M19="","",M19)</f>
        <v>Наименование тарифа</v>
      </c>
      <c r="AB19" s="509"/>
      <c r="AC19" s="509"/>
      <c r="AD19" s="1164">
        <v>20</v>
      </c>
    </row>
    <row customHeight="1" ht="21">
      <c r="A20" s="1372" t="s">
        <v>185</v>
      </c>
      <c r="B20" s="1372" t="s">
        <v>186</v>
      </c>
      <c r="C20" s="1372" t="s">
        <v>187</v>
      </c>
      <c r="D20" s="1372" t="s">
        <v>188</v>
      </c>
      <c r="E20" s="1372"/>
      <c r="F20" s="1374"/>
      <c r="G20" s="1374"/>
      <c r="H20" s="1374"/>
      <c r="I20" s="1299"/>
      <c r="J20" s="361"/>
      <c r="K20" s="362"/>
      <c r="L20" s="1302" t="str">
        <f>INDEX(PT_DIFFERENTIATION_NUM_TER,MATCH(B19,PT_DIFFERENTIATION_TER_ID,0))</f>
        <v>.</v>
      </c>
      <c r="M20" s="317" t="s">
        <v>412</v>
      </c>
      <c r="N20" s="309"/>
      <c r="O20" s="2634" t="str">
        <f>INDEX(PT_DIFFERENTIATION_TER,MATCH(B19,PT_DIFFERENTIATION_TER_ID,0))</f>
        <v/>
      </c>
      <c r="P20" s="2634"/>
      <c r="Q20" s="2634"/>
      <c r="R20" s="2634"/>
      <c r="S20" s="2634"/>
      <c r="T20" s="2634"/>
      <c r="U20" s="2634"/>
      <c r="V20" s="2634"/>
      <c r="W20" s="2634"/>
      <c r="X20" s="1267" t="s">
        <v>413</v>
      </c>
      <c r="Z20" s="509"/>
      <c r="AA20" s="509" t="str">
        <f>IF(M20="","",M20)</f>
        <v>Территория действия тарифа</v>
      </c>
      <c r="AB20" s="509"/>
      <c r="AC20" s="509"/>
      <c r="AD20" s="1164">
        <v>20</v>
      </c>
    </row>
    <row customHeight="1" ht="24">
      <c r="A21" s="1372" t="s">
        <v>185</v>
      </c>
      <c r="B21" s="1372" t="s">
        <v>186</v>
      </c>
      <c r="C21" s="1372" t="s">
        <v>187</v>
      </c>
      <c r="D21" s="1372" t="s">
        <v>188</v>
      </c>
      <c r="E21" s="1372"/>
      <c r="F21" s="1374"/>
      <c r="G21" s="1374"/>
      <c r="H21" s="1374"/>
      <c r="I21" s="363"/>
      <c r="J21" s="361"/>
      <c r="K21" s="362"/>
      <c r="L21" s="1302" t="str">
        <f>INDEX(PT_DIFFERENTIATION_NUM_CS,MATCH(C19,PT_DIFFERENTIATION_CS_ID,0))</f>
        <v>..</v>
      </c>
      <c r="M21" s="318" t="s">
        <v>414</v>
      </c>
      <c r="N21" s="309"/>
      <c r="O21" s="2634" t="str">
        <f>INDEX(PT_DIFFERENTIATION_CS,MATCH(C19,PT_DIFFERENTIATION_CS_ID,0))</f>
        <v/>
      </c>
      <c r="P21" s="2634"/>
      <c r="Q21" s="2634"/>
      <c r="R21" s="2634"/>
      <c r="S21" s="2634"/>
      <c r="T21" s="2634"/>
      <c r="U21" s="2634"/>
      <c r="V21" s="2634"/>
      <c r="W21" s="2634"/>
      <c r="X21" s="1267" t="s">
        <v>415</v>
      </c>
      <c r="Z21" s="509"/>
      <c r="AA21" s="509" t="str">
        <f>IF(M21="","",M21)</f>
        <v>Наименование системы теплоснабжения </v>
      </c>
      <c r="AB21" s="509"/>
      <c r="AC21" s="509"/>
      <c r="AD21" s="1164">
        <v>23</v>
      </c>
    </row>
    <row customHeight="1" ht="21">
      <c r="A22" s="1372" t="s">
        <v>185</v>
      </c>
      <c r="B22" s="1372" t="s">
        <v>186</v>
      </c>
      <c r="C22" s="1372" t="s">
        <v>187</v>
      </c>
      <c r="D22" s="1372" t="s">
        <v>188</v>
      </c>
      <c r="E22" s="1372"/>
      <c r="F22" s="1374"/>
      <c r="G22" s="1374"/>
      <c r="H22" s="1374"/>
      <c r="I22" s="363"/>
      <c r="J22" s="361"/>
      <c r="K22" s="362"/>
      <c r="L22" s="1302" t="str">
        <f>INDEX(PT_DIFFERENTIATION_NUM_IST_TE,MATCH(D19,PT_DIFFERENTIATION_IST_TE_ID,0))</f>
        <v>...</v>
      </c>
      <c r="M22" s="319" t="s">
        <v>416</v>
      </c>
      <c r="N22" s="309"/>
      <c r="O22" s="2634" t="str">
        <f>INDEX(PT_DIFFERENTIATION_IST_TE,MATCH(D19,PT_DIFFERENTIATION_IST_TE_ID,0))</f>
        <v/>
      </c>
      <c r="P22" s="2634"/>
      <c r="Q22" s="2634"/>
      <c r="R22" s="2634"/>
      <c r="S22" s="2634"/>
      <c r="T22" s="2634"/>
      <c r="U22" s="2634"/>
      <c r="V22" s="2634"/>
      <c r="W22" s="2634"/>
      <c r="X22" s="1267" t="s">
        <v>417</v>
      </c>
      <c r="Z22" s="509"/>
      <c r="AA22" s="509" t="str">
        <f>IF(M22="","",M22)</f>
        <v>Источник тепловой энергии  </v>
      </c>
      <c r="AB22" s="509"/>
      <c r="AC22" s="509"/>
      <c r="AD22" s="1164">
        <v>20</v>
      </c>
    </row>
    <row customHeight="1" ht="96.75">
      <c r="A23" s="1372" t="s">
        <v>185</v>
      </c>
      <c r="B23" s="1372" t="s">
        <v>186</v>
      </c>
      <c r="C23" s="1372" t="s">
        <v>187</v>
      </c>
      <c r="D23" s="1372" t="s">
        <v>188</v>
      </c>
      <c r="E23" s="1372"/>
      <c r="F23" s="2635" t="str">
        <f>L22&amp;".1"</f>
        <v>....1</v>
      </c>
      <c r="I23" s="2285">
        <v>1</v>
      </c>
      <c r="J23" s="1300"/>
      <c r="K23" s="365"/>
      <c r="L23" s="1302" t="str">
        <f>$F$23</f>
        <v>....1</v>
      </c>
      <c r="M23" s="294" t="s">
        <v>419</v>
      </c>
      <c r="N23" s="309"/>
      <c r="O23" s="2333"/>
      <c r="P23" s="2333"/>
      <c r="Q23" s="2333"/>
      <c r="R23" s="2333"/>
      <c r="S23" s="2333"/>
      <c r="T23" s="2333"/>
      <c r="U23" s="2333"/>
      <c r="V23" s="2333"/>
      <c r="W23" s="2333"/>
      <c r="X23" s="1267" t="s">
        <v>420</v>
      </c>
      <c r="Z23" s="509"/>
      <c r="AA23" s="509" t="str">
        <f>IF(M23="","",M23)</f>
        <v>Схема подключения теплопотребляющей установки к коллектору источника тепловой энергии</v>
      </c>
      <c r="AB23" s="509"/>
      <c r="AC23" s="509"/>
      <c r="AD23" s="1164">
        <v>92</v>
      </c>
    </row>
    <row customHeight="1" ht="86.25">
      <c r="A24" s="1372" t="s">
        <v>185</v>
      </c>
      <c r="B24" s="1372" t="s">
        <v>186</v>
      </c>
      <c r="C24" s="1372" t="s">
        <v>187</v>
      </c>
      <c r="D24" s="1372" t="s">
        <v>188</v>
      </c>
      <c r="E24" s="1372"/>
      <c r="F24" s="2635"/>
      <c r="G24" s="2245" t="str">
        <f>F23&amp;".1"</f>
        <v>....1.1</v>
      </c>
      <c r="I24" s="2285"/>
      <c r="J24" s="2285">
        <v>1</v>
      </c>
      <c r="K24" s="366"/>
      <c r="L24" s="1302" t="str">
        <f>$G$24</f>
        <v>....1.1</v>
      </c>
      <c r="M24" s="295" t="s">
        <v>422</v>
      </c>
      <c r="N24" s="309"/>
      <c r="O24" s="2273"/>
      <c r="P24" s="2274"/>
      <c r="Q24" s="2274"/>
      <c r="R24" s="2274"/>
      <c r="S24" s="2274"/>
      <c r="T24" s="2274"/>
      <c r="U24" s="2274"/>
      <c r="V24" s="2274"/>
      <c r="W24" s="2275"/>
      <c r="X24" s="1267" t="s">
        <v>423</v>
      </c>
      <c r="Z24" s="509"/>
      <c r="AA24" s="509" t="str">
        <f>IF(M24="","",M24)</f>
        <v>Группа потребителей</v>
      </c>
      <c r="AB24" s="509"/>
      <c r="AC24" s="509"/>
      <c r="AD24" s="1164">
        <v>82</v>
      </c>
    </row>
    <row customHeight="1" ht="11.549999999999999">
      <c r="A25" s="1372" t="s">
        <v>185</v>
      </c>
      <c r="B25" s="1372" t="s">
        <v>186</v>
      </c>
      <c r="C25" s="1372" t="s">
        <v>187</v>
      </c>
      <c r="D25" s="1372" t="s">
        <v>188</v>
      </c>
      <c r="E25" s="1372"/>
      <c r="F25" s="2635"/>
      <c r="G25" s="2245"/>
      <c r="H25" s="2245" t="str">
        <f>G24&amp;".1"</f>
        <v>....1.1.1</v>
      </c>
      <c r="I25" s="2285"/>
      <c r="J25" s="2285"/>
      <c r="K25" s="366">
        <v>1</v>
      </c>
      <c r="L25" s="1302" t="str">
        <f>$H$25</f>
        <v>....1.1.1</v>
      </c>
      <c r="M25" s="1356"/>
      <c r="N25" s="309"/>
      <c r="O25" s="760"/>
      <c r="P25" s="334"/>
      <c r="Q25" s="760"/>
      <c r="R25" s="1266"/>
      <c r="S25" s="2630"/>
      <c r="T25" s="2135" t="s">
        <v>63</v>
      </c>
      <c r="U25" s="2630"/>
      <c r="V25" s="2135" t="s">
        <v>19</v>
      </c>
      <c r="W25" s="334"/>
      <c r="X25" s="2281" t="s">
        <v>425</v>
      </c>
      <c r="Y25" s="520">
        <f>STRCHECKDATE(O26:W26)</f>
      </c>
      <c r="Z25" s="509"/>
      <c r="AA25" s="509" t="str">
        <f>IF(M25="","",M25)</f>
        <v/>
      </c>
      <c r="AB25" s="509"/>
      <c r="AC25" s="509"/>
      <c r="AD25" s="1164">
        <v>11</v>
      </c>
    </row>
    <row customHeight="1" ht="11.549999999999999">
      <c r="A26" s="1372" t="s">
        <v>185</v>
      </c>
      <c r="B26" s="1372" t="s">
        <v>186</v>
      </c>
      <c r="C26" s="1372" t="s">
        <v>187</v>
      </c>
      <c r="D26" s="1372" t="s">
        <v>188</v>
      </c>
      <c r="E26" s="1372"/>
      <c r="F26" s="2635"/>
      <c r="G26" s="2245"/>
      <c r="H26" s="2245"/>
      <c r="I26" s="2285"/>
      <c r="J26" s="2285"/>
      <c r="K26" s="366"/>
      <c r="L26" s="1303"/>
      <c r="M26" s="309"/>
      <c r="N26" s="309"/>
      <c r="O26" s="334"/>
      <c r="P26" s="334"/>
      <c r="Q26" s="334"/>
      <c r="R26" s="337" t="str">
        <f>S25&amp;"-"&amp;U25</f>
        <v>-</v>
      </c>
      <c r="S26" s="2294"/>
      <c r="T26" s="2135"/>
      <c r="U26" s="2294"/>
      <c r="V26" s="2135"/>
      <c r="W26" s="334"/>
      <c r="X26" s="2282"/>
      <c r="Z26" s="509"/>
      <c r="AA26" s="509" t="str">
        <f>IF(M26="","",M26)</f>
        <v/>
      </c>
      <c r="AB26" s="509"/>
      <c r="AC26" s="509"/>
      <c r="AD26" s="1164">
        <v>11</v>
      </c>
    </row>
    <row customHeight="1" ht="15.75">
      <c r="A27" s="1372" t="s">
        <v>185</v>
      </c>
      <c r="B27" s="1372" t="s">
        <v>186</v>
      </c>
      <c r="C27" s="1372" t="s">
        <v>187</v>
      </c>
      <c r="D27" s="1372" t="s">
        <v>188</v>
      </c>
      <c r="E27" s="1372"/>
      <c r="F27" s="2635"/>
      <c r="G27" s="2245"/>
      <c r="I27" s="2285"/>
      <c r="J27" s="2285"/>
      <c r="K27" s="365"/>
      <c r="L27" s="1287"/>
      <c r="M27" s="297" t="s">
        <v>426</v>
      </c>
      <c r="N27" s="376"/>
      <c r="O27" s="376"/>
      <c r="P27" s="376"/>
      <c r="Q27" s="376"/>
      <c r="R27" s="376"/>
      <c r="S27" s="376"/>
      <c r="T27" s="376"/>
      <c r="U27" s="376"/>
      <c r="V27" s="376"/>
      <c r="W27" s="333"/>
      <c r="X27" s="2283"/>
      <c r="Z27" s="509"/>
      <c r="AA27" s="509" t="str">
        <f>IF(M27="","",M27)</f>
        <v>Добавить вид теплоносителя (параметры теплоносителя)</v>
      </c>
      <c r="AB27" s="509"/>
      <c r="AC27" s="509"/>
      <c r="AD27" s="1164">
        <v>15</v>
      </c>
    </row>
    <row customHeight="1" ht="15.75">
      <c r="A28" s="1372" t="s">
        <v>185</v>
      </c>
      <c r="B28" s="1372" t="s">
        <v>186</v>
      </c>
      <c r="C28" s="1372" t="s">
        <v>187</v>
      </c>
      <c r="D28" s="1372" t="s">
        <v>188</v>
      </c>
      <c r="E28" s="1372"/>
      <c r="F28" s="2635"/>
      <c r="I28" s="2285"/>
      <c r="J28" s="1300"/>
      <c r="K28" s="365"/>
      <c r="L28" s="1287"/>
      <c r="M28" s="296" t="s">
        <v>427</v>
      </c>
      <c r="N28" s="376"/>
      <c r="O28" s="376"/>
      <c r="P28" s="376"/>
      <c r="Q28" s="376"/>
      <c r="R28" s="376"/>
      <c r="S28" s="376"/>
      <c r="T28" s="376"/>
      <c r="U28" s="376"/>
      <c r="V28" s="375"/>
      <c r="W28" s="376"/>
      <c r="X28" s="312"/>
      <c r="Z28" s="509"/>
      <c r="AA28" s="509" t="str">
        <f>IF(M28="","",M28)</f>
        <v>Добавить группу потребителей</v>
      </c>
      <c r="AB28" s="509"/>
      <c r="AC28" s="509"/>
      <c r="AD28" s="1164">
        <v>15</v>
      </c>
    </row>
    <row customHeight="1" ht="14.699999999999998">
      <c r="A29" s="1372" t="s">
        <v>185</v>
      </c>
      <c r="B29" s="1372" t="s">
        <v>186</v>
      </c>
      <c r="C29" s="1372" t="s">
        <v>187</v>
      </c>
      <c r="D29" s="1372" t="s">
        <v>188</v>
      </c>
      <c r="E29" s="1372"/>
      <c r="F29" s="1374"/>
      <c r="G29" s="1374"/>
      <c r="H29" s="546"/>
      <c r="I29" s="369"/>
      <c r="J29" s="384"/>
      <c r="K29" s="364"/>
      <c r="L29" s="1287"/>
      <c r="M29" s="374" t="s">
        <v>428</v>
      </c>
      <c r="N29" s="376"/>
      <c r="O29" s="376"/>
      <c r="P29" s="376"/>
      <c r="Q29" s="376"/>
      <c r="R29" s="376"/>
      <c r="S29" s="376"/>
      <c r="T29" s="376"/>
      <c r="U29" s="376"/>
      <c r="V29" s="375"/>
      <c r="W29" s="376"/>
      <c r="X29" s="312"/>
      <c r="Z29" s="509"/>
      <c r="AA29" s="509" t="str">
        <f>IF(M29="","",M29)</f>
        <v>Добавить схему подключения</v>
      </c>
      <c r="AB29" s="509"/>
      <c r="AC29" s="509"/>
      <c r="AD29" s="1164">
        <v>14</v>
      </c>
    </row>
    <row customHeight="1" ht="14.699999999999998">
      <c r="A30" s="1372" t="s">
        <v>185</v>
      </c>
      <c r="B30" s="1372" t="s">
        <v>186</v>
      </c>
      <c r="C30" s="1372" t="s">
        <v>187</v>
      </c>
      <c r="D30" s="1372"/>
      <c r="E30" s="1372" t="s">
        <v>607</v>
      </c>
      <c r="F30" s="1374"/>
      <c r="G30" s="1374"/>
      <c r="H30" s="546"/>
      <c r="I30" s="369"/>
      <c r="J30" s="384"/>
      <c r="K30" s="364"/>
      <c r="L30" s="1288"/>
      <c r="M30" s="1277"/>
      <c r="N30" s="1278"/>
      <c r="O30" s="1278"/>
      <c r="P30" s="1278"/>
      <c r="Q30" s="1278"/>
      <c r="R30" s="1278"/>
      <c r="S30" s="1278"/>
      <c r="T30" s="1278"/>
      <c r="U30" s="1278"/>
      <c r="V30" s="1279"/>
      <c r="W30" s="1278"/>
      <c r="X30" s="1280"/>
      <c r="Z30" s="509"/>
      <c r="AA30" s="509" t="str">
        <f>IF(M30="","",M30)</f>
        <v/>
      </c>
      <c r="AB30" s="509"/>
      <c r="AC30" s="509"/>
      <c r="AD30" s="1164">
        <v>14</v>
      </c>
    </row>
    <row customHeight="1" ht="14.699999999999998">
      <c r="A31" s="1372" t="s">
        <v>185</v>
      </c>
      <c r="B31" s="1372" t="s">
        <v>186</v>
      </c>
      <c r="C31" s="1372"/>
      <c r="D31" s="1372"/>
      <c r="E31" s="1372" t="s">
        <v>2467</v>
      </c>
      <c r="F31" s="1526"/>
      <c r="G31" s="1526"/>
      <c r="H31" s="546"/>
      <c r="I31" s="367"/>
      <c r="J31" s="384"/>
      <c r="K31" s="368"/>
      <c r="L31" s="1288"/>
      <c r="M31" s="1281"/>
      <c r="N31" s="1278"/>
      <c r="O31" s="1278"/>
      <c r="P31" s="1278"/>
      <c r="Q31" s="1278"/>
      <c r="R31" s="1278"/>
      <c r="S31" s="1278"/>
      <c r="T31" s="1278"/>
      <c r="U31" s="1278"/>
      <c r="V31" s="1279"/>
      <c r="W31" s="1278"/>
      <c r="X31" s="1280"/>
      <c r="Z31" s="509"/>
      <c r="AA31" s="509" t="str">
        <f>IF(M31="","",M31)</f>
        <v/>
      </c>
      <c r="AB31" s="509"/>
      <c r="AC31" s="509"/>
      <c r="AD31" s="1164">
        <v>14</v>
      </c>
    </row>
    <row customHeight="1" ht="14.699999999999998">
      <c r="A32" s="1372" t="s">
        <v>2468</v>
      </c>
      <c r="B32" s="1372"/>
      <c r="C32" s="1372"/>
      <c r="D32" s="1372"/>
      <c r="E32" s="1372" t="s">
        <v>113</v>
      </c>
      <c r="F32" s="1526"/>
      <c r="G32" s="1526"/>
      <c r="H32" s="546"/>
      <c r="I32" s="369"/>
      <c r="J32" s="384"/>
      <c r="K32" s="364"/>
      <c r="L32" s="1288"/>
      <c r="M32" s="1282"/>
      <c r="N32" s="1278"/>
      <c r="O32" s="1278"/>
      <c r="P32" s="1278"/>
      <c r="Q32" s="1278"/>
      <c r="R32" s="1278"/>
      <c r="S32" s="1278"/>
      <c r="T32" s="1278"/>
      <c r="U32" s="1278"/>
      <c r="V32" s="1279"/>
      <c r="W32" s="1278"/>
      <c r="X32" s="1280"/>
      <c r="Z32" s="509"/>
      <c r="AA32" s="509" t="str">
        <f>IF(M32="","",M32)</f>
        <v/>
      </c>
      <c r="AB32" s="509"/>
      <c r="AC32" s="509"/>
      <c r="AD32" s="1164">
        <v>14</v>
      </c>
    </row>
    <row s="1856" customFormat="1" customHeight="1" ht="11.549999999999999">
      <c r="A33" s="1372"/>
      <c r="B33" s="1372"/>
      <c r="C33" s="1372"/>
      <c r="D33" s="1372"/>
      <c r="E33" s="1372" t="s">
        <v>459</v>
      </c>
      <c r="F33" s="1527"/>
      <c r="G33" s="1528"/>
      <c r="H33" s="546"/>
      <c r="L33" s="1289"/>
      <c r="M33" s="1283"/>
      <c r="N33" s="1278"/>
      <c r="O33" s="1278"/>
      <c r="P33" s="1278"/>
      <c r="Q33" s="1278"/>
      <c r="R33" s="1278"/>
      <c r="S33" s="1278"/>
      <c r="T33" s="1278"/>
      <c r="U33" s="1278"/>
      <c r="V33" s="1279"/>
      <c r="W33" s="1278"/>
      <c r="X33" s="1280"/>
      <c r="Y33" s="388"/>
      <c r="Z33" s="388"/>
      <c r="AA33" s="388"/>
      <c r="AB33" s="388"/>
      <c r="AC33" s="388"/>
      <c r="AD33" s="382">
        <v>11</v>
      </c>
    </row>
    <row customHeight="1" ht="11.549999999999999">
      <c r="F34" s="1169"/>
      <c r="G34" s="1169"/>
      <c r="H34" s="546"/>
      <c r="I34" s="1164"/>
      <c r="J34" s="1164"/>
      <c r="K34" s="1164"/>
      <c r="Y34" s="1164"/>
      <c r="Z34" s="1164"/>
      <c r="AA34" s="1164"/>
      <c r="AB34" s="1164"/>
      <c r="AC34" s="1164"/>
      <c r="AD34" s="1164">
        <v>11</v>
      </c>
    </row>
    <row customHeight="1" ht="28.5">
      <c r="H35" s="546"/>
      <c r="L35" s="1297" t="s">
        <v>844</v>
      </c>
      <c r="M35" s="2313" t="s">
        <v>2469</v>
      </c>
      <c r="N35" s="2313"/>
      <c r="O35" s="2313"/>
      <c r="P35" s="2313"/>
      <c r="Q35" s="2313"/>
      <c r="R35" s="2313"/>
      <c r="S35" s="2313"/>
      <c r="T35" s="2313"/>
      <c r="U35" s="2313"/>
      <c r="V35" s="2313"/>
      <c r="W35" s="2313"/>
      <c r="X35" s="2313"/>
      <c r="AD35" s="1164">
        <v>27</v>
      </c>
    </row>
    <row customHeight="1" ht="109.19999999999999">
      <c r="H36" s="546"/>
      <c r="I36" s="1312"/>
      <c r="M36" s="2313" t="s">
        <v>2470</v>
      </c>
      <c r="N36" s="2313"/>
      <c r="O36" s="2313"/>
      <c r="P36" s="2313"/>
      <c r="Q36" s="2313"/>
      <c r="R36" s="2313"/>
      <c r="S36" s="2313"/>
      <c r="T36" s="2313"/>
      <c r="U36" s="2313"/>
      <c r="V36" s="2313"/>
      <c r="W36" s="2313"/>
      <c r="X36" s="2313"/>
      <c r="AD36" s="1164">
        <v>104</v>
      </c>
    </row>
    <row customHeight="1" ht="14.699999999999998">
      <c r="H37" s="546"/>
      <c r="AD37" s="1164">
        <v>14</v>
      </c>
    </row>
    <row customHeight="1" ht="14.699999999999998">
      <c r="H38" s="546"/>
      <c r="AD38" s="1164">
        <v>14</v>
      </c>
    </row>
    <row customHeight="1" ht="14.699999999999998">
      <c r="H39" s="546"/>
      <c r="AD39" s="1164">
        <v>14</v>
      </c>
    </row>
    <row customHeight="1" ht="14.699999999999998">
      <c r="H40" s="546"/>
      <c r="AD40" s="1164">
        <v>14</v>
      </c>
    </row>
    <row customHeight="1" ht="22.5" hidden="1">
      <c r="A41" s="1169" t="s">
        <v>83</v>
      </c>
      <c r="B41" s="1169">
        <v>0</v>
      </c>
      <c r="C41" s="1169">
        <v>0</v>
      </c>
      <c r="D41" s="1169">
        <v>0</v>
      </c>
      <c r="E41" s="1169">
        <v>0</v>
      </c>
      <c r="F41" s="1371">
        <v>0</v>
      </c>
      <c r="G41" s="1371">
        <v>0</v>
      </c>
      <c r="H41" s="1371">
        <v>0</v>
      </c>
      <c r="I41" s="1295">
        <v>3</v>
      </c>
      <c r="J41" s="353">
        <v>3</v>
      </c>
      <c r="K41" s="353">
        <v>3</v>
      </c>
      <c r="L41" s="590">
        <v>12</v>
      </c>
      <c r="M41" s="1164">
        <v>31</v>
      </c>
      <c r="N41" s="1164">
        <v>1</v>
      </c>
      <c r="O41" s="1164">
        <v>24</v>
      </c>
      <c r="P41" s="1164">
        <v>24</v>
      </c>
      <c r="Q41" s="1164">
        <v>24</v>
      </c>
      <c r="R41" s="1164">
        <v>24</v>
      </c>
      <c r="S41" s="1164">
        <v>11</v>
      </c>
      <c r="T41" s="1164">
        <v>3</v>
      </c>
      <c r="U41" s="1164">
        <v>11</v>
      </c>
      <c r="V41" s="1164">
        <v>8</v>
      </c>
      <c r="W41" s="1164">
        <v>4</v>
      </c>
      <c r="X41" s="1164">
        <v>115</v>
      </c>
      <c r="Y41" s="520">
        <v>10</v>
      </c>
      <c r="Z41" s="520">
        <v>10</v>
      </c>
      <c r="AA41" s="520">
        <v>10</v>
      </c>
      <c r="AB41" s="520">
        <v>10</v>
      </c>
      <c r="AC41" s="520">
        <v>10</v>
      </c>
      <c r="AD41" s="1164">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421C96-89A9-B9B1-AAE2-0.59A5E55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F3CF4F-434D-0F49-1848-0.C6A5B99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89D4C2-5773-4A6C-518F-0.62CEF79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09AE0D-FA5D-A799-5B44-0.CBC4CB3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D98603-A556-9512-6643-0.E9B0B5A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6CAE72-413F-2B5E-B042-0.B4016BE6}"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94" width="15.00390625" hidden="1" customWidth="1"/>
    <col min="2" max="2" style="510" width="15.00390625" hidden="1" customWidth="1"/>
    <col min="3" max="3" style="464" width="3.00390625" customWidth="1"/>
    <col min="4" max="4" style="465" width="6.00390625" customWidth="1"/>
    <col min="5" max="5" style="464" width="52.00390625" customWidth="1"/>
    <col min="6" max="6" style="464" width="48.00390625" customWidth="1"/>
    <col min="7" max="7" style="464" width="121.00390625" customWidth="1"/>
    <col min="8" max="8" style="464" width="8.00390625" customWidth="1"/>
    <col min="9" max="9" style="464" width="64.00390625" customWidth="1"/>
    <col min="10" max="10" style="464" width="9.140625" hidden="1"/>
  </cols>
  <sheetData>
    <row customHeight="1" ht="11.25" hidden="1">
      <c r="A1" s="1694" t="s">
        <v>314</v>
      </c>
      <c r="J1" s="464" t="s">
        <v>14</v>
      </c>
    </row>
    <row customHeight="1" ht="11.25" hidden="1">
      <c r="J2" s="464">
        <v>0</v>
      </c>
    </row>
    <row s="486" customFormat="1" customHeight="1" ht="11.549999999999999">
      <c r="A3" s="1694"/>
      <c r="B3" s="510"/>
      <c r="D3" s="487"/>
      <c r="J3" s="486">
        <v>11</v>
      </c>
    </row>
    <row customHeight="1" ht="27.299999999999997">
      <c r="D4" s="218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86"/>
      <c r="F4" s="2187"/>
      <c r="I4" s="724"/>
      <c r="J4" s="464">
        <v>26</v>
      </c>
    </row>
    <row customHeight="1" ht="18">
      <c r="D5" s="2204" t="str">
        <f>IF(org=0,"Не определено",org)</f>
        <v>АО "ДГК"</v>
      </c>
      <c r="E5" s="2204"/>
      <c r="F5" s="2204"/>
      <c r="I5" s="724"/>
      <c r="J5" s="464">
        <v>17</v>
      </c>
    </row>
    <row s="486" customFormat="1" customHeight="1" ht="11.549999999999999">
      <c r="A6" s="1694"/>
      <c r="B6" s="510"/>
      <c r="D6" s="723"/>
      <c r="E6" s="723"/>
      <c r="F6" s="761"/>
      <c r="G6" s="723"/>
      <c r="J6" s="486">
        <v>11</v>
      </c>
    </row>
    <row customHeight="1" ht="11.25" hidden="1">
      <c r="A7" s="466"/>
      <c r="B7" s="511"/>
      <c r="C7" s="466"/>
      <c r="D7" s="472"/>
      <c r="E7" s="2235"/>
      <c r="F7" s="2235"/>
      <c r="J7" s="464">
        <v>0</v>
      </c>
    </row>
    <row customHeight="1" ht="11.549999999999999">
      <c r="A8" s="466"/>
      <c r="B8" s="511"/>
      <c r="C8" s="466"/>
      <c r="D8" s="2232" t="s">
        <v>315</v>
      </c>
      <c r="E8" s="2233"/>
      <c r="F8" s="2233"/>
      <c r="G8" s="2236" t="s">
        <v>316</v>
      </c>
      <c r="J8" s="464">
        <v>11</v>
      </c>
    </row>
    <row customHeight="1" ht="11.549999999999999">
      <c r="A9" s="466"/>
      <c r="B9" s="511"/>
      <c r="C9" s="466"/>
      <c r="D9" s="481" t="s">
        <v>89</v>
      </c>
      <c r="E9" s="455" t="s">
        <v>317</v>
      </c>
      <c r="F9" s="455" t="s">
        <v>318</v>
      </c>
      <c r="G9" s="2237"/>
      <c r="J9" s="464">
        <v>11</v>
      </c>
    </row>
    <row customHeight="1" ht="12" hidden="1">
      <c r="A10" s="466"/>
      <c r="B10" s="511"/>
      <c r="C10" s="466"/>
      <c r="D10" s="473"/>
      <c r="E10" s="473"/>
      <c r="F10" s="473"/>
      <c r="G10" s="473"/>
      <c r="J10" s="464">
        <v>0</v>
      </c>
    </row>
    <row customHeight="1" ht="22.5" hidden="1">
      <c r="A11" s="466"/>
      <c r="B11" s="511"/>
      <c r="C11" s="466"/>
      <c r="D11" s="1018" t="s">
        <v>118</v>
      </c>
      <c r="E11" s="1021" t="s">
        <v>319</v>
      </c>
      <c r="F11" s="1020" t="str">
        <f>IF(region_name="","",region_name)</f>
        <v>Приморский край</v>
      </c>
      <c r="G11" s="1021" t="s">
        <v>320</v>
      </c>
      <c r="H11" s="484"/>
      <c r="J11" s="464">
        <v>0</v>
      </c>
    </row>
    <row customHeight="1" ht="22.5" hidden="1">
      <c r="A12" s="466"/>
      <c r="B12" s="511"/>
      <c r="C12" s="466"/>
      <c r="D12" s="454" t="s">
        <v>118</v>
      </c>
      <c r="E12" s="45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452" t="s">
        <v>321</v>
      </c>
      <c r="G12" s="483"/>
      <c r="H12" s="484"/>
      <c r="J12" s="464">
        <v>0</v>
      </c>
    </row>
    <row customHeight="1" ht="23.25">
      <c r="A13" s="466"/>
      <c r="B13" s="511"/>
      <c r="C13" s="466"/>
      <c r="D13" s="454" t="s">
        <v>118</v>
      </c>
      <c r="E13" s="451" t="str">
        <f>"Наименование юридического лица"&amp;IF(TEMPLATE_SPHERE="TKO"," (индивидуального предпринимателя)","")</f>
        <v>Наименование юридического лица</v>
      </c>
      <c r="F13" s="450"/>
      <c r="G13" s="45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84"/>
      <c r="J13" s="464">
        <v>22</v>
      </c>
    </row>
    <row customHeight="1" ht="22.5" hidden="1">
      <c r="A14" s="466"/>
      <c r="B14" s="511"/>
      <c r="C14" s="466"/>
      <c r="D14" s="1018" t="s">
        <v>322</v>
      </c>
      <c r="E14" s="1019" t="s">
        <v>323</v>
      </c>
      <c r="F14" s="1020" t="str">
        <f>IF(inn="","",inn)</f>
        <v>1434031363</v>
      </c>
      <c r="G14" s="1021" t="s">
        <v>324</v>
      </c>
      <c r="H14" s="484"/>
      <c r="J14" s="464">
        <v>0</v>
      </c>
    </row>
    <row customHeight="1" ht="22.5" hidden="1">
      <c r="A15" s="466"/>
      <c r="B15" s="511"/>
      <c r="C15" s="466"/>
      <c r="D15" s="1018" t="s">
        <v>325</v>
      </c>
      <c r="E15" s="1019" t="s">
        <v>326</v>
      </c>
      <c r="F15" s="1020" t="str">
        <f>IF(kpp="","",kpp)</f>
        <v>253645001</v>
      </c>
      <c r="G15" s="1021" t="s">
        <v>327</v>
      </c>
      <c r="H15" s="484"/>
      <c r="J15" s="464">
        <v>0</v>
      </c>
    </row>
    <row customHeight="1" ht="39">
      <c r="A16" s="466"/>
      <c r="B16" s="511"/>
      <c r="C16" s="466"/>
      <c r="D16" s="454" t="s">
        <v>103</v>
      </c>
      <c r="E16" s="45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50"/>
      <c r="G16" s="45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84"/>
      <c r="J16" s="464">
        <v>37</v>
      </c>
    </row>
    <row customHeight="1" ht="23.25">
      <c r="A17" s="466"/>
      <c r="B17" s="511"/>
      <c r="C17" s="466"/>
      <c r="D17" s="454" t="s">
        <v>91</v>
      </c>
      <c r="E17" s="451" t="str">
        <f>"Дата присвоения ОГРН"&amp;IF(TEMPLATE_SPHERE="TKO",""," (ОГРНИП)")</f>
        <v>Дата присвоения ОГРН (ОГРНИП)</v>
      </c>
      <c r="F17" s="1740" t="s">
        <v>22</v>
      </c>
      <c r="G17" s="453" t="str">
        <f>"Дата присвоения ОГРН"&amp;IF(TEMPLATE_SPHERE="TKO",""," (ОГРНИП)")&amp;" указывается в виде «ДД.ММ.ГГГГ»."</f>
        <v>Дата присвоения ОГРН (ОГРНИП) указывается в виде «ДД.ММ.ГГГГ».</v>
      </c>
      <c r="H17" s="484"/>
      <c r="J17" s="464">
        <v>22</v>
      </c>
    </row>
    <row customHeight="1" ht="71.25">
      <c r="A18" s="466"/>
      <c r="B18" s="511"/>
      <c r="C18" s="466"/>
      <c r="D18" s="454" t="s">
        <v>92</v>
      </c>
      <c r="E18" s="45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50"/>
      <c r="G18" s="483"/>
      <c r="H18" s="484"/>
      <c r="J18" s="464">
        <v>68</v>
      </c>
    </row>
    <row customHeight="1" ht="22.5" hidden="1">
      <c r="A19" s="2230" t="s">
        <v>328</v>
      </c>
      <c r="B19" s="511"/>
      <c r="C19" s="2241"/>
      <c r="D19" s="454" t="str">
        <f>A19</f>
        <v>5.1</v>
      </c>
      <c r="E19" s="451" t="s">
        <v>329</v>
      </c>
      <c r="F19" s="452" t="s">
        <v>321</v>
      </c>
      <c r="G19" s="453" t="s">
        <v>330</v>
      </c>
      <c r="H19" s="484"/>
      <c r="I19" s="861"/>
      <c r="J19" s="464">
        <v>0</v>
      </c>
    </row>
    <row customHeight="1" ht="24" hidden="1">
      <c r="A20" s="2230"/>
      <c r="B20" s="511"/>
      <c r="C20" s="2241"/>
      <c r="D20" s="449" t="str">
        <f>D19&amp;".1"</f>
        <v>5.1.1</v>
      </c>
      <c r="E20" s="448" t="s">
        <v>331</v>
      </c>
      <c r="F20" s="890" t="s">
        <v>22</v>
      </c>
      <c r="G20" s="483"/>
      <c r="H20" s="484"/>
      <c r="I20" s="861"/>
      <c r="J20" s="464">
        <v>0</v>
      </c>
    </row>
    <row customHeight="1" ht="22.5" hidden="1">
      <c r="A21" s="2230"/>
      <c r="B21" s="511"/>
      <c r="C21" s="2241"/>
      <c r="D21" s="449" t="str">
        <f>D19&amp;".2"</f>
        <v>5.1.2</v>
      </c>
      <c r="E21" s="448" t="s">
        <v>332</v>
      </c>
      <c r="F21" s="1741" t="s">
        <v>22</v>
      </c>
      <c r="G21" s="453" t="s">
        <v>333</v>
      </c>
      <c r="H21" s="484"/>
      <c r="I21" s="861"/>
      <c r="J21" s="464">
        <v>0</v>
      </c>
    </row>
    <row customHeight="1" ht="22.5" hidden="1">
      <c r="A22" s="2230"/>
      <c r="B22" s="511"/>
      <c r="C22" s="2241"/>
      <c r="D22" s="449" t="str">
        <f>D19&amp;".3"</f>
        <v>5.1.3</v>
      </c>
      <c r="E22" s="448" t="s">
        <v>334</v>
      </c>
      <c r="F22" s="890" t="s">
        <v>22</v>
      </c>
      <c r="G22" s="483"/>
      <c r="H22" s="484"/>
      <c r="I22" s="861"/>
      <c r="J22" s="464">
        <v>0</v>
      </c>
    </row>
    <row customHeight="1" ht="22.5" hidden="1">
      <c r="A23" s="2230"/>
      <c r="B23" s="511"/>
      <c r="C23" s="2241"/>
      <c r="D23" s="449" t="str">
        <f>D19&amp;".4"</f>
        <v>5.1.4</v>
      </c>
      <c r="E23" s="448" t="s">
        <v>335</v>
      </c>
      <c r="F23" s="890" t="s">
        <v>22</v>
      </c>
      <c r="G23" s="453" t="s">
        <v>336</v>
      </c>
      <c r="H23" s="484"/>
      <c r="I23" s="861"/>
      <c r="J23" s="464">
        <v>0</v>
      </c>
    </row>
    <row customHeight="1" ht="22.5" hidden="1">
      <c r="A24" s="1984"/>
      <c r="B24" s="511"/>
      <c r="C24" s="501"/>
      <c r="D24" s="476"/>
      <c r="E24" s="1177" t="s">
        <v>337</v>
      </c>
      <c r="F24" s="477"/>
      <c r="G24" s="478"/>
      <c r="H24" s="484"/>
      <c r="I24" s="861"/>
      <c r="J24" s="464">
        <v>0</v>
      </c>
    </row>
    <row s="510" customFormat="1" customHeight="1" ht="24.75" hidden="1">
      <c r="A25" s="466"/>
      <c r="B25" s="511"/>
      <c r="C25" s="511"/>
      <c r="D25" s="1015" t="s">
        <v>91</v>
      </c>
      <c r="E25" s="1017" t="s">
        <v>338</v>
      </c>
      <c r="F25" s="1022" t="s">
        <v>321</v>
      </c>
      <c r="G25" s="1017"/>
      <c r="J25" s="510">
        <v>0</v>
      </c>
    </row>
    <row s="510" customFormat="1" customHeight="1" ht="11.25" hidden="1">
      <c r="A26" s="466"/>
      <c r="B26" s="511"/>
      <c r="C26" s="511"/>
      <c r="D26" s="1015" t="s">
        <v>339</v>
      </c>
      <c r="E26" s="1016" t="s">
        <v>340</v>
      </c>
      <c r="F26" s="1022" t="s">
        <v>321</v>
      </c>
      <c r="G26" s="1017"/>
      <c r="J26" s="510">
        <v>0</v>
      </c>
    </row>
    <row s="510" customFormat="1" customHeight="1" ht="11.25" hidden="1">
      <c r="A27" s="466"/>
      <c r="B27" s="511"/>
      <c r="C27" s="511"/>
      <c r="D27" s="1015" t="s">
        <v>341</v>
      </c>
      <c r="E27" s="1023" t="s">
        <v>342</v>
      </c>
      <c r="F27" s="1024"/>
      <c r="G27" s="101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510">
        <v>0</v>
      </c>
    </row>
    <row s="510" customFormat="1" customHeight="1" ht="11.25" hidden="1">
      <c r="A28" s="466"/>
      <c r="B28" s="511"/>
      <c r="C28" s="511"/>
      <c r="D28" s="1015" t="s">
        <v>343</v>
      </c>
      <c r="E28" s="1023" t="s">
        <v>344</v>
      </c>
      <c r="F28" s="1024"/>
      <c r="G28" s="101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510">
        <v>0</v>
      </c>
    </row>
    <row s="510" customFormat="1" customHeight="1" ht="11.25" hidden="1">
      <c r="A29" s="466"/>
      <c r="B29" s="511"/>
      <c r="C29" s="511"/>
      <c r="D29" s="1015" t="s">
        <v>345</v>
      </c>
      <c r="E29" s="1023" t="s">
        <v>346</v>
      </c>
      <c r="F29" s="1024"/>
      <c r="G29" s="101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510">
        <v>0</v>
      </c>
    </row>
    <row s="510" customFormat="1" customHeight="1" ht="11.25" hidden="1">
      <c r="A30" s="466"/>
      <c r="B30" s="511"/>
      <c r="C30" s="511"/>
      <c r="D30" s="1015" t="s">
        <v>347</v>
      </c>
      <c r="E30" s="1016" t="s">
        <v>348</v>
      </c>
      <c r="F30" s="1024"/>
      <c r="G30" s="1017"/>
      <c r="J30" s="510">
        <v>0</v>
      </c>
    </row>
    <row s="510" customFormat="1" customHeight="1" ht="11.25" hidden="1">
      <c r="A31" s="466"/>
      <c r="B31" s="511"/>
      <c r="C31" s="511"/>
      <c r="D31" s="1015" t="s">
        <v>349</v>
      </c>
      <c r="E31" s="1016" t="s">
        <v>350</v>
      </c>
      <c r="F31" s="1024"/>
      <c r="G31" s="1017"/>
      <c r="J31" s="510">
        <v>0</v>
      </c>
    </row>
    <row s="510" customFormat="1" customHeight="1" ht="11.25" hidden="1">
      <c r="A32" s="466"/>
      <c r="B32" s="511"/>
      <c r="C32" s="511"/>
      <c r="D32" s="1015" t="s">
        <v>351</v>
      </c>
      <c r="E32" s="1016" t="s">
        <v>352</v>
      </c>
      <c r="F32" s="1025"/>
      <c r="G32" s="1017"/>
      <c r="J32" s="510">
        <v>0</v>
      </c>
    </row>
    <row customHeight="1" ht="24">
      <c r="A33" s="466" t="str">
        <f>IF(TEMPLATE_SPHERE="HEAT","6","5")</f>
        <v>6</v>
      </c>
      <c r="B33" s="511"/>
      <c r="C33" s="466"/>
      <c r="D33" s="449" t="str">
        <f>A33</f>
        <v>6</v>
      </c>
      <c r="E33" s="44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452" t="s">
        <v>321</v>
      </c>
      <c r="G33" s="483"/>
      <c r="H33" s="484"/>
      <c r="J33" s="464">
        <v>23</v>
      </c>
    </row>
    <row customHeight="1" ht="23.25">
      <c r="A34" s="466"/>
      <c r="B34" s="511"/>
      <c r="C34" s="466"/>
      <c r="D34" s="449" t="str">
        <f>D33&amp;".1"</f>
        <v>6.1</v>
      </c>
      <c r="E34" s="451" t="str">
        <f>"фамилия"&amp;IF(TEMPLATE_SPHERE&lt;&gt;"HEAT"," руководителя","")</f>
        <v>фамилия</v>
      </c>
      <c r="F34" s="450"/>
      <c r="G34" s="45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84"/>
      <c r="J34" s="464">
        <v>22</v>
      </c>
    </row>
    <row customHeight="1" ht="23.25">
      <c r="A35" s="466"/>
      <c r="B35" s="511"/>
      <c r="C35" s="466"/>
      <c r="D35" s="449" t="str">
        <f>D33&amp;".2"</f>
        <v>6.2</v>
      </c>
      <c r="E35" s="451" t="str">
        <f>"имя"&amp;IF(TEMPLATE_SPHERE&lt;&gt;"HEAT"," руководителя","")</f>
        <v>имя</v>
      </c>
      <c r="F35" s="450"/>
      <c r="G35" s="45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84"/>
      <c r="J35" s="464">
        <v>22</v>
      </c>
    </row>
    <row customHeight="1" ht="24">
      <c r="A36" s="466"/>
      <c r="B36" s="511"/>
      <c r="C36" s="466"/>
      <c r="D36" s="449" t="str">
        <f>D33&amp;".3"</f>
        <v>6.3</v>
      </c>
      <c r="E36" s="451" t="str">
        <f>"отчество"&amp;IF(TEMPLATE_SPHERE&lt;&gt;"HEAT"," руководителя","")</f>
        <v>отчество</v>
      </c>
      <c r="F36" s="707"/>
      <c r="G36" s="45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84"/>
      <c r="J36" s="464">
        <v>23</v>
      </c>
    </row>
    <row customHeight="1" ht="35.699999999999996">
      <c r="A37" s="466"/>
      <c r="B37" s="511"/>
      <c r="C37" s="466"/>
      <c r="D37" s="449">
        <f>D33+1</f>
        <v>7</v>
      </c>
      <c r="E37" s="44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450"/>
      <c r="G37" s="453" t="s">
        <v>353</v>
      </c>
      <c r="H37" s="484"/>
      <c r="J37" s="464">
        <v>34</v>
      </c>
    </row>
    <row customHeight="1" ht="35.699999999999996">
      <c r="A38" s="466"/>
      <c r="B38" s="511"/>
      <c r="C38" s="466"/>
      <c r="D38" s="449">
        <f>D37+1</f>
        <v>8</v>
      </c>
      <c r="E38" s="44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450"/>
      <c r="G38" s="453" t="s">
        <v>353</v>
      </c>
      <c r="H38" s="484"/>
      <c r="J38" s="464">
        <v>34</v>
      </c>
    </row>
    <row customHeight="1" ht="23.25">
      <c r="A39" s="466"/>
      <c r="B39" s="511"/>
      <c r="C39" s="466"/>
      <c r="D39" s="449">
        <f>D38+1</f>
        <v>9</v>
      </c>
      <c r="E39" s="44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452" t="s">
        <v>321</v>
      </c>
      <c r="G39" s="223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84"/>
      <c r="J39" s="464">
        <v>22</v>
      </c>
    </row>
    <row customHeight="1" ht="22.5" hidden="1">
      <c r="A40" s="466"/>
      <c r="B40" s="511"/>
      <c r="C40" s="466"/>
      <c r="D40" s="449" t="str">
        <f>D39&amp;".0"</f>
        <v>9.0</v>
      </c>
      <c r="E40" s="1614"/>
      <c r="F40" s="890"/>
      <c r="G40" s="2239"/>
      <c r="H40" s="484"/>
      <c r="J40" s="464">
        <v>0</v>
      </c>
    </row>
    <row customHeight="1" ht="23.25">
      <c r="A41" s="466"/>
      <c r="B41" s="466"/>
      <c r="C41" s="1696"/>
      <c r="D41" s="449" t="str">
        <f>D39&amp;".1"</f>
        <v>9.1</v>
      </c>
      <c r="E41" s="869"/>
      <c r="F41" s="870"/>
      <c r="G41" s="2239"/>
      <c r="H41" s="484"/>
      <c r="J41" s="464">
        <v>22</v>
      </c>
    </row>
    <row customHeight="1" ht="15.75">
      <c r="A42" s="466"/>
      <c r="B42" s="511"/>
      <c r="C42" s="466"/>
      <c r="D42" s="476"/>
      <c r="E42" s="424" t="s">
        <v>354</v>
      </c>
      <c r="F42" s="478"/>
      <c r="G42" s="2240"/>
      <c r="H42" s="485"/>
      <c r="J42" s="464">
        <v>15</v>
      </c>
    </row>
    <row customHeight="1" ht="27.299999999999997">
      <c r="A43" s="466"/>
      <c r="B43" s="511"/>
      <c r="C43" s="466"/>
      <c r="D43" s="449">
        <f>D39+1</f>
        <v>10</v>
      </c>
      <c r="E43" s="44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871"/>
      <c r="G43" s="45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84"/>
      <c r="J43" s="464">
        <v>26</v>
      </c>
    </row>
    <row customHeight="1" ht="23.25">
      <c r="A44" s="466"/>
      <c r="B44" s="511"/>
      <c r="C44" s="466"/>
      <c r="D44" s="449">
        <f>D43+1</f>
        <v>11</v>
      </c>
      <c r="E44" s="44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87"/>
      <c r="G44" s="483" t="s">
        <v>355</v>
      </c>
      <c r="H44" s="484"/>
      <c r="J44" s="464">
        <v>22</v>
      </c>
    </row>
    <row customHeight="1" ht="23.25">
      <c r="A45" s="466"/>
      <c r="B45" s="511"/>
      <c r="C45" s="466"/>
      <c r="D45" s="449">
        <f>D44+1</f>
        <v>12</v>
      </c>
      <c r="E45" s="447" t="s">
        <v>356</v>
      </c>
      <c r="F45" s="452" t="s">
        <v>321</v>
      </c>
      <c r="G45" s="446" t="str">
        <f>IF(TEMPLATE_SPHERE="TKO","Указывается режим работы организации.","")</f>
        <v/>
      </c>
      <c r="H45" s="484"/>
      <c r="J45" s="464">
        <v>22</v>
      </c>
    </row>
    <row customHeight="1" ht="24">
      <c r="A46" s="466"/>
      <c r="B46" s="511"/>
      <c r="C46" s="466"/>
      <c r="D46" s="449" t="str">
        <f>D45&amp;".1"</f>
        <v>12.1</v>
      </c>
      <c r="E46" s="451" t="str">
        <f>"режим работы регулируемой организации"&amp;IF(TEMPLATE_SPHERE="HEAT",", ЕТО, ТО","")</f>
        <v>режим работы регулируемой организации, ЕТО, ТО</v>
      </c>
      <c r="F46" s="1692"/>
      <c r="G46" s="446" t="s">
        <v>357</v>
      </c>
      <c r="H46" s="484"/>
      <c r="J46" s="464">
        <v>23</v>
      </c>
    </row>
    <row customHeight="1" ht="24">
      <c r="A47" s="2230"/>
      <c r="B47" s="511"/>
      <c r="C47" s="501"/>
      <c r="D47" s="449" t="str">
        <f>D45&amp;".2"</f>
        <v>12.2</v>
      </c>
      <c r="E47" s="451" t="s">
        <v>358</v>
      </c>
      <c r="F47" s="499"/>
      <c r="G47" s="446" t="s">
        <v>359</v>
      </c>
      <c r="H47" s="484"/>
      <c r="J47" s="464">
        <v>23</v>
      </c>
    </row>
    <row customHeight="1" ht="24">
      <c r="A48" s="2230"/>
      <c r="B48" s="511"/>
      <c r="C48" s="501"/>
      <c r="D48" s="449" t="str">
        <f>D45&amp;".3"</f>
        <v>12.3</v>
      </c>
      <c r="E48" s="451" t="s">
        <v>360</v>
      </c>
      <c r="F48" s="499"/>
      <c r="G48" s="446" t="s">
        <v>361</v>
      </c>
      <c r="H48" s="484"/>
      <c r="J48" s="464">
        <v>23</v>
      </c>
    </row>
    <row customHeight="1" ht="24">
      <c r="A49" s="2230"/>
      <c r="B49" s="511"/>
      <c r="C49" s="501"/>
      <c r="D49" s="449" t="str">
        <f>IF(TEMPLATE_SPHERE="TKO",D45&amp;".0",D45&amp;".4")</f>
        <v>12.4</v>
      </c>
      <c r="E49" s="445" t="s">
        <v>362</v>
      </c>
      <c r="F49" s="1693"/>
      <c r="G49" s="1770" t="s">
        <v>363</v>
      </c>
      <c r="H49" s="484"/>
      <c r="J49" s="464">
        <v>23</v>
      </c>
    </row>
    <row customHeight="1" ht="24">
      <c r="A50" s="466"/>
      <c r="B50" s="511"/>
      <c r="C50" s="466"/>
      <c r="D50" s="476"/>
      <c r="E50" s="424" t="s">
        <v>364</v>
      </c>
      <c r="F50" s="477"/>
      <c r="G50" s="1770" t="s">
        <v>365</v>
      </c>
      <c r="H50" s="485"/>
      <c r="J50" s="464">
        <v>23</v>
      </c>
    </row>
    <row customHeight="1" ht="24">
      <c r="A51" s="867"/>
      <c r="B51" s="511"/>
      <c r="C51" s="501"/>
      <c r="D51" s="449">
        <f>D45+1</f>
        <v>13</v>
      </c>
      <c r="E51" s="537" t="s">
        <v>366</v>
      </c>
      <c r="F51" s="499"/>
      <c r="G51" s="169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84"/>
      <c r="J51" s="464">
        <v>23</v>
      </c>
    </row>
    <row customHeight="1" ht="11.549999999999999">
      <c r="A52" s="466"/>
      <c r="B52" s="511"/>
      <c r="C52" s="466"/>
      <c r="J52" s="464">
        <v>11</v>
      </c>
    </row>
    <row s="469" customFormat="1" customHeight="1" ht="31.5">
      <c r="A53" s="1695"/>
      <c r="B53" s="512"/>
      <c r="C53" s="2231"/>
      <c r="D53" s="223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4"/>
      <c r="F53" s="2234"/>
      <c r="G53" s="2234"/>
      <c r="H53" s="463"/>
      <c r="I53" s="463"/>
      <c r="J53" s="469">
        <v>30</v>
      </c>
    </row>
    <row s="469" customFormat="1" customHeight="1" ht="42">
      <c r="A54" s="466"/>
      <c r="B54" s="511"/>
      <c r="C54" s="2231"/>
      <c r="D54" s="223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4"/>
      <c r="F54" s="2234"/>
      <c r="G54" s="2234"/>
      <c r="J54" s="469">
        <v>40</v>
      </c>
    </row>
    <row customHeight="1" ht="11.549999999999999">
      <c r="D55" s="467"/>
      <c r="E55" s="468"/>
      <c r="F55" s="468"/>
      <c r="G55" s="468"/>
      <c r="J55" s="464">
        <v>11</v>
      </c>
    </row>
    <row customHeight="1" ht="28.5">
      <c r="D56" s="470"/>
      <c r="E56" s="467"/>
      <c r="F56" s="479"/>
      <c r="G56" s="479"/>
      <c r="J56" s="464">
        <v>27</v>
      </c>
    </row>
    <row customHeight="1" ht="11.549999999999999">
      <c r="D57" s="467"/>
      <c r="E57" s="467"/>
      <c r="F57" s="468"/>
      <c r="G57" s="468"/>
      <c r="J57" s="464">
        <v>11</v>
      </c>
    </row>
    <row customHeight="1" ht="40.949999999999996">
      <c r="D58" s="471"/>
      <c r="E58" s="480"/>
      <c r="F58" s="480"/>
      <c r="G58" s="480"/>
      <c r="J58" s="464">
        <v>39</v>
      </c>
    </row>
    <row customHeight="1" ht="28.5">
      <c r="D59" s="471"/>
      <c r="E59" s="480"/>
      <c r="F59" s="480"/>
      <c r="G59" s="480"/>
      <c r="J59" s="464">
        <v>27</v>
      </c>
    </row>
    <row customHeight="1" ht="11.25" hidden="1">
      <c r="A60" s="1694" t="s">
        <v>83</v>
      </c>
      <c r="B60" s="510">
        <v>0</v>
      </c>
      <c r="C60" s="464">
        <v>3</v>
      </c>
      <c r="D60" s="465">
        <v>6</v>
      </c>
      <c r="E60" s="464">
        <v>52</v>
      </c>
      <c r="F60" s="464">
        <v>48</v>
      </c>
      <c r="G60" s="464">
        <v>121</v>
      </c>
      <c r="H60" s="464">
        <v>8</v>
      </c>
      <c r="I60" s="464">
        <v>64</v>
      </c>
      <c r="J60" s="464">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535864-E559-74BE-FDB5-0.D670C67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CB2E9-235A-6E11-AD13-0.565081D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A7618-138E-71A9-672C-0.76B46058}"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75"/>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E52186-9414-E84E-8587-0.8ADAD12F}" mc:Ignorable="x14ac xr xr2 xr3">
  <dimension ref="A1:E8"/>
  <sheetViews>
    <sheetView topLeftCell="A1" showGridLines="0" workbookViewId="0">
      <selection activeCell="A1" sqref="A1"/>
    </sheetView>
  </sheetViews>
  <sheetFormatPr customHeight="1" defaultRowHeight="11.25"/>
  <cols>
    <col min="1" max="1" style="73" width="10.57421875" customWidth="1"/>
    <col min="2" max="2" style="73" width="8.7109375" customWidth="1"/>
    <col min="3" max="3" style="73" width="18.140625" customWidth="1"/>
    <col min="4" max="4" style="73" width="12.57421875" customWidth="1"/>
  </cols>
  <sheetData>
    <row customHeight="1" ht="11.25">
      <c r="A1" s="2647" t="s">
        <v>2471</v>
      </c>
      <c r="B1" s="2648" t="s">
        <v>2472</v>
      </c>
      <c r="C1" s="2649" t="s">
        <v>2473</v>
      </c>
      <c r="D1" s="2650"/>
      <c r="E1" s="845" t="s">
        <v>2474</v>
      </c>
    </row>
    <row customHeight="1" ht="11.25">
      <c r="A2" s="2651"/>
      <c r="B2" s="774" t="s">
        <v>27</v>
      </c>
      <c r="C2" s="762"/>
      <c r="D2" s="773"/>
      <c r="E2" s="845"/>
    </row>
    <row customHeight="1" ht="11.25">
      <c r="A3" s="2652"/>
      <c r="B3" s="2653" t="s">
        <v>33</v>
      </c>
      <c r="C3" s="762"/>
      <c r="D3" s="773"/>
      <c r="E3" s="845"/>
    </row>
    <row customHeight="1" ht="11.25">
      <c r="A4" s="2654"/>
      <c r="B4" s="775" t="s">
        <v>1922</v>
      </c>
      <c r="C4" s="762"/>
      <c r="D4" s="773"/>
      <c r="E4" s="845"/>
    </row>
    <row customHeight="1" ht="11.25">
      <c r="A5" s="2655"/>
      <c r="B5" s="775" t="s">
        <v>1919</v>
      </c>
      <c r="C5" s="2656" t="s">
        <v>2243</v>
      </c>
      <c r="D5" s="2657" t="s">
        <v>2475</v>
      </c>
      <c r="E5" s="845"/>
    </row>
    <row s="1856" customFormat="1" customHeight="1" ht="11.25">
      <c r="A6" s="2658"/>
      <c r="B6" s="775" t="s">
        <v>1925</v>
      </c>
      <c r="C6" s="762"/>
      <c r="D6" s="773"/>
      <c r="E6" s="845"/>
    </row>
    <row customHeight="1" ht="11.25">
      <c r="A7" s="2659"/>
      <c r="B7" s="775" t="s">
        <v>1931</v>
      </c>
      <c r="C7" s="762"/>
      <c r="D7" s="773"/>
      <c r="E7" s="845"/>
    </row>
    <row customHeight="1" ht="11.25">
      <c r="A8" s="765"/>
      <c r="B8" s="775" t="s">
        <v>1927</v>
      </c>
      <c r="C8" s="762"/>
      <c r="D8" s="773"/>
      <c r="E8" s="845"/>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7F1C2-F8CB-4C87-0774-0.0F75F25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F28612-C83C-C0C8-9C3B-0.88AA965D}"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0E2E5-6847-26E5-9343-0.A1DC4D6E}" mc:Ignorable="x14ac xr xr2 xr3">
  <sheetPr>
    <tabColor rgb="FFFFCC99"/>
  </sheetPr>
  <dimension ref="A1:I494"/>
  <sheetViews>
    <sheetView topLeftCell="A1" showGridLines="0" workbookViewId="0">
      <selection activeCell="A1" sqref="A1"/>
    </sheetView>
  </sheetViews>
  <sheetFormatPr defaultColWidth="9.140625" customHeight="1" defaultRowHeight="11.25"/>
  <cols>
    <col min="1" max="2" style="1856" width="9.140625"/>
  </cols>
  <sheetData>
    <row customHeight="1" ht="11.25">
      <c r="A1" s="77" t="s">
        <v>2476</v>
      </c>
      <c r="B1" s="77" t="s">
        <v>2477</v>
      </c>
      <c r="C1" s="71" t="s">
        <v>2478</v>
      </c>
      <c r="D1" s="71" t="s">
        <v>2479</v>
      </c>
      <c r="E1" s="71" t="s">
        <v>2480</v>
      </c>
      <c r="F1" s="71" t="s">
        <v>2481</v>
      </c>
      <c r="G1" s="71" t="s">
        <v>2482</v>
      </c>
      <c r="H1" s="71" t="s">
        <v>2483</v>
      </c>
      <c r="I1" s="71" t="s">
        <v>2484</v>
      </c>
    </row>
    <row customHeight="1" ht="11.25">
      <c r="A2" s="1856" t="s">
        <v>2485</v>
      </c>
      <c r="B2" s="1856" t="s">
        <v>16</v>
      </c>
      <c r="C2" s="71" t="s">
        <v>22</v>
      </c>
      <c r="D2" s="71" t="s">
        <v>2486</v>
      </c>
      <c r="E2" s="71" t="s">
        <v>2487</v>
      </c>
      <c r="F2" s="71" t="s">
        <v>2488</v>
      </c>
      <c r="G2" s="71" t="s">
        <v>22</v>
      </c>
      <c r="H2" s="71" t="s">
        <v>22</v>
      </c>
      <c r="I2" s="71" t="s">
        <v>848</v>
      </c>
    </row>
    <row customHeight="1" ht="11.25">
      <c r="A3" s="1856" t="s">
        <v>2485</v>
      </c>
      <c r="B3" s="1856" t="s">
        <v>16</v>
      </c>
      <c r="C3" s="0" t="s">
        <v>2489</v>
      </c>
      <c r="D3" s="0" t="s">
        <v>2490</v>
      </c>
      <c r="E3" s="0" t="s">
        <v>2491</v>
      </c>
      <c r="F3" s="0" t="s">
        <v>2492</v>
      </c>
      <c r="G3" s="0" t="s">
        <v>22</v>
      </c>
      <c r="H3" s="0" t="s">
        <v>22</v>
      </c>
      <c r="I3" s="0" t="s">
        <v>848</v>
      </c>
    </row>
    <row customHeight="1" ht="11.25">
      <c r="A4" s="1856" t="s">
        <v>2485</v>
      </c>
      <c r="B4" s="1856" t="s">
        <v>16</v>
      </c>
      <c r="C4" s="0" t="s">
        <v>2493</v>
      </c>
      <c r="D4" s="0" t="s">
        <v>2494</v>
      </c>
      <c r="E4" s="0" t="s">
        <v>2495</v>
      </c>
      <c r="F4" s="0" t="s">
        <v>2496</v>
      </c>
      <c r="G4" s="0" t="s">
        <v>22</v>
      </c>
      <c r="H4" s="0" t="s">
        <v>22</v>
      </c>
      <c r="I4" s="0" t="s">
        <v>848</v>
      </c>
    </row>
    <row customHeight="1" ht="11.25">
      <c r="A5" s="1856" t="s">
        <v>2485</v>
      </c>
      <c r="B5" s="1856" t="s">
        <v>16</v>
      </c>
      <c r="C5" s="0" t="s">
        <v>2497</v>
      </c>
      <c r="D5" s="0" t="s">
        <v>2498</v>
      </c>
      <c r="E5" s="0" t="s">
        <v>2499</v>
      </c>
      <c r="F5" s="0" t="s">
        <v>2500</v>
      </c>
      <c r="G5" s="0" t="s">
        <v>2501</v>
      </c>
      <c r="H5" s="0" t="s">
        <v>22</v>
      </c>
      <c r="I5" s="0" t="s">
        <v>848</v>
      </c>
    </row>
    <row customHeight="1" ht="11.25">
      <c r="A6" s="1856" t="s">
        <v>2485</v>
      </c>
      <c r="B6" s="1856" t="s">
        <v>16</v>
      </c>
      <c r="C6" s="0" t="s">
        <v>2502</v>
      </c>
      <c r="D6" s="0" t="s">
        <v>2503</v>
      </c>
      <c r="E6" s="0" t="s">
        <v>2504</v>
      </c>
      <c r="F6" s="0" t="s">
        <v>2505</v>
      </c>
      <c r="G6" s="0" t="s">
        <v>2506</v>
      </c>
      <c r="H6" s="0" t="s">
        <v>22</v>
      </c>
      <c r="I6" s="0" t="s">
        <v>848</v>
      </c>
    </row>
    <row customHeight="1" ht="11.25">
      <c r="A7" s="1856" t="s">
        <v>2485</v>
      </c>
      <c r="B7" s="1856" t="s">
        <v>16</v>
      </c>
      <c r="C7" s="0" t="s">
        <v>2507</v>
      </c>
      <c r="D7" s="0" t="s">
        <v>2508</v>
      </c>
      <c r="E7" s="0" t="s">
        <v>2509</v>
      </c>
      <c r="F7" s="0" t="s">
        <v>2510</v>
      </c>
      <c r="G7" s="0" t="s">
        <v>22</v>
      </c>
      <c r="H7" s="0" t="s">
        <v>22</v>
      </c>
      <c r="I7" s="0" t="s">
        <v>848</v>
      </c>
    </row>
    <row customHeight="1" ht="11.25">
      <c r="A8" s="1856" t="s">
        <v>2485</v>
      </c>
      <c r="B8" s="1856" t="s">
        <v>16</v>
      </c>
      <c r="C8" s="0" t="s">
        <v>13</v>
      </c>
      <c r="D8" s="0" t="s">
        <v>46</v>
      </c>
      <c r="E8" s="0" t="s">
        <v>49</v>
      </c>
      <c r="F8" s="0" t="s">
        <v>51</v>
      </c>
      <c r="G8" s="0" t="s">
        <v>22</v>
      </c>
      <c r="H8" s="0" t="s">
        <v>22</v>
      </c>
      <c r="I8" s="0" t="s">
        <v>848</v>
      </c>
    </row>
    <row customHeight="1" ht="11.25">
      <c r="A9" s="1856" t="s">
        <v>2485</v>
      </c>
      <c r="B9" s="1856" t="s">
        <v>16</v>
      </c>
      <c r="C9" s="0" t="s">
        <v>2511</v>
      </c>
      <c r="D9" s="0" t="s">
        <v>46</v>
      </c>
      <c r="E9" s="0" t="s">
        <v>49</v>
      </c>
      <c r="F9" s="0" t="s">
        <v>2512</v>
      </c>
      <c r="G9" s="0" t="s">
        <v>2513</v>
      </c>
      <c r="H9" s="0" t="s">
        <v>22</v>
      </c>
      <c r="I9" s="0" t="s">
        <v>848</v>
      </c>
    </row>
    <row customHeight="1" ht="11.25">
      <c r="A10" s="1856" t="s">
        <v>2485</v>
      </c>
      <c r="B10" s="1856" t="s">
        <v>16</v>
      </c>
      <c r="C10" s="0" t="s">
        <v>2514</v>
      </c>
      <c r="D10" s="0" t="s">
        <v>46</v>
      </c>
      <c r="E10" s="0" t="s">
        <v>49</v>
      </c>
      <c r="F10" s="0" t="s">
        <v>2515</v>
      </c>
      <c r="G10" s="0" t="s">
        <v>2513</v>
      </c>
      <c r="H10" s="0" t="s">
        <v>22</v>
      </c>
      <c r="I10" s="0" t="s">
        <v>848</v>
      </c>
    </row>
    <row customHeight="1" ht="11.25">
      <c r="A11" s="1856" t="s">
        <v>2485</v>
      </c>
      <c r="B11" s="1856" t="s">
        <v>16</v>
      </c>
      <c r="C11" s="0" t="s">
        <v>2516</v>
      </c>
      <c r="D11" s="0" t="s">
        <v>2517</v>
      </c>
      <c r="E11" s="0" t="s">
        <v>49</v>
      </c>
      <c r="F11" s="0" t="s">
        <v>2518</v>
      </c>
      <c r="G11" s="0" t="s">
        <v>22</v>
      </c>
      <c r="H11" s="0" t="s">
        <v>22</v>
      </c>
      <c r="I11" s="0" t="s">
        <v>848</v>
      </c>
    </row>
    <row customHeight="1" ht="11.25">
      <c r="A12" s="1856" t="s">
        <v>2485</v>
      </c>
      <c r="B12" s="1856" t="s">
        <v>16</v>
      </c>
      <c r="C12" s="0" t="s">
        <v>2519</v>
      </c>
      <c r="D12" s="0" t="s">
        <v>2520</v>
      </c>
      <c r="E12" s="0" t="s">
        <v>49</v>
      </c>
      <c r="F12" s="0" t="s">
        <v>2521</v>
      </c>
      <c r="G12" s="0" t="s">
        <v>22</v>
      </c>
      <c r="H12" s="0" t="s">
        <v>22</v>
      </c>
      <c r="I12" s="0" t="s">
        <v>848</v>
      </c>
    </row>
    <row customHeight="1" ht="11.25">
      <c r="A13" s="1856" t="s">
        <v>2485</v>
      </c>
      <c r="B13" s="1856" t="s">
        <v>16</v>
      </c>
      <c r="C13" s="0" t="s">
        <v>2522</v>
      </c>
      <c r="D13" s="0" t="s">
        <v>2523</v>
      </c>
      <c r="E13" s="0" t="s">
        <v>2524</v>
      </c>
      <c r="F13" s="0" t="s">
        <v>2525</v>
      </c>
      <c r="G13" s="0" t="s">
        <v>22</v>
      </c>
      <c r="H13" s="0" t="s">
        <v>22</v>
      </c>
      <c r="I13" s="0" t="s">
        <v>848</v>
      </c>
    </row>
    <row customHeight="1" ht="11.25">
      <c r="A14" s="1856" t="s">
        <v>2485</v>
      </c>
      <c r="B14" s="1856" t="s">
        <v>16</v>
      </c>
      <c r="C14" s="0" t="s">
        <v>2526</v>
      </c>
      <c r="D14" s="0" t="s">
        <v>2527</v>
      </c>
      <c r="E14" s="0" t="s">
        <v>2528</v>
      </c>
      <c r="F14" s="0" t="s">
        <v>2529</v>
      </c>
      <c r="G14" s="0" t="s">
        <v>22</v>
      </c>
      <c r="H14" s="0" t="s">
        <v>22</v>
      </c>
      <c r="I14" s="0" t="s">
        <v>848</v>
      </c>
    </row>
    <row customHeight="1" ht="11.25">
      <c r="A15" s="1856" t="s">
        <v>2485</v>
      </c>
      <c r="B15" s="1856" t="s">
        <v>16</v>
      </c>
      <c r="C15" s="0" t="s">
        <v>2530</v>
      </c>
      <c r="D15" s="0" t="s">
        <v>2531</v>
      </c>
      <c r="E15" s="0" t="s">
        <v>2532</v>
      </c>
      <c r="F15" s="0" t="s">
        <v>2533</v>
      </c>
      <c r="G15" s="0" t="s">
        <v>22</v>
      </c>
      <c r="H15" s="0" t="s">
        <v>22</v>
      </c>
      <c r="I15" s="0" t="s">
        <v>848</v>
      </c>
    </row>
    <row customHeight="1" ht="11.25">
      <c r="A16" s="1856" t="s">
        <v>2485</v>
      </c>
      <c r="B16" s="1856" t="s">
        <v>16</v>
      </c>
      <c r="C16" s="0" t="s">
        <v>2534</v>
      </c>
      <c r="D16" s="0" t="s">
        <v>2535</v>
      </c>
      <c r="E16" s="0" t="s">
        <v>2536</v>
      </c>
      <c r="F16" s="0" t="s">
        <v>2537</v>
      </c>
      <c r="G16" s="0" t="s">
        <v>22</v>
      </c>
      <c r="H16" s="0" t="s">
        <v>22</v>
      </c>
      <c r="I16" s="0" t="s">
        <v>848</v>
      </c>
    </row>
    <row customHeight="1" ht="11.25">
      <c r="A17" s="1856" t="s">
        <v>2485</v>
      </c>
      <c r="B17" s="1856" t="s">
        <v>16</v>
      </c>
      <c r="C17" s="0" t="s">
        <v>2538</v>
      </c>
      <c r="D17" s="0" t="s">
        <v>2539</v>
      </c>
      <c r="E17" s="0" t="s">
        <v>2540</v>
      </c>
      <c r="F17" s="0" t="s">
        <v>2541</v>
      </c>
      <c r="G17" s="0" t="s">
        <v>2542</v>
      </c>
      <c r="H17" s="0" t="s">
        <v>22</v>
      </c>
      <c r="I17" s="0" t="s">
        <v>848</v>
      </c>
    </row>
    <row customHeight="1" ht="11.25">
      <c r="A18" s="1856" t="s">
        <v>2485</v>
      </c>
      <c r="B18" s="1856" t="s">
        <v>16</v>
      </c>
      <c r="C18" s="0" t="s">
        <v>2543</v>
      </c>
      <c r="D18" s="0" t="s">
        <v>2544</v>
      </c>
      <c r="E18" s="0" t="s">
        <v>2545</v>
      </c>
      <c r="F18" s="0" t="s">
        <v>2496</v>
      </c>
      <c r="G18" s="0" t="s">
        <v>22</v>
      </c>
      <c r="H18" s="0" t="s">
        <v>22</v>
      </c>
      <c r="I18" s="0" t="s">
        <v>848</v>
      </c>
    </row>
    <row customHeight="1" ht="11.25">
      <c r="A19" s="1856" t="s">
        <v>2485</v>
      </c>
      <c r="B19" s="1856" t="s">
        <v>16</v>
      </c>
      <c r="C19" s="0" t="s">
        <v>2546</v>
      </c>
      <c r="D19" s="0" t="s">
        <v>2547</v>
      </c>
      <c r="E19" s="0" t="s">
        <v>2548</v>
      </c>
      <c r="F19" s="0" t="s">
        <v>2549</v>
      </c>
      <c r="G19" s="0" t="s">
        <v>22</v>
      </c>
      <c r="H19" s="0" t="s">
        <v>22</v>
      </c>
      <c r="I19" s="0" t="s">
        <v>848</v>
      </c>
    </row>
    <row customHeight="1" ht="11.25">
      <c r="A20" s="1856" t="s">
        <v>2485</v>
      </c>
      <c r="B20" s="1856" t="s">
        <v>16</v>
      </c>
      <c r="C20" s="0" t="s">
        <v>2550</v>
      </c>
      <c r="D20" s="0" t="s">
        <v>2551</v>
      </c>
      <c r="E20" s="0" t="s">
        <v>2552</v>
      </c>
      <c r="F20" s="0" t="s">
        <v>2553</v>
      </c>
      <c r="G20" s="0" t="s">
        <v>2554</v>
      </c>
      <c r="H20" s="0" t="s">
        <v>22</v>
      </c>
      <c r="I20" s="0" t="s">
        <v>848</v>
      </c>
    </row>
    <row customHeight="1" ht="11.25">
      <c r="A21" s="1856" t="s">
        <v>2485</v>
      </c>
      <c r="B21" s="1856" t="s">
        <v>16</v>
      </c>
      <c r="C21" s="0" t="s">
        <v>2555</v>
      </c>
      <c r="D21" s="0" t="s">
        <v>2556</v>
      </c>
      <c r="E21" s="0" t="s">
        <v>2557</v>
      </c>
      <c r="F21" s="0" t="s">
        <v>2558</v>
      </c>
      <c r="G21" s="0" t="s">
        <v>2559</v>
      </c>
      <c r="H21" s="0" t="s">
        <v>22</v>
      </c>
      <c r="I21" s="0" t="s">
        <v>848</v>
      </c>
    </row>
    <row customHeight="1" ht="11.25">
      <c r="A22" s="1856" t="s">
        <v>2485</v>
      </c>
      <c r="B22" s="1856" t="s">
        <v>16</v>
      </c>
      <c r="C22" s="0" t="s">
        <v>2560</v>
      </c>
      <c r="D22" s="0" t="s">
        <v>2561</v>
      </c>
      <c r="E22" s="0" t="s">
        <v>2562</v>
      </c>
      <c r="F22" s="0" t="s">
        <v>2525</v>
      </c>
      <c r="G22" s="0" t="s">
        <v>22</v>
      </c>
      <c r="H22" s="0" t="s">
        <v>22</v>
      </c>
      <c r="I22" s="0" t="s">
        <v>848</v>
      </c>
    </row>
    <row customHeight="1" ht="11.25">
      <c r="A23" s="1856" t="s">
        <v>2485</v>
      </c>
      <c r="B23" s="1856" t="s">
        <v>16</v>
      </c>
      <c r="C23" s="0" t="s">
        <v>2563</v>
      </c>
      <c r="D23" s="0" t="s">
        <v>2564</v>
      </c>
      <c r="E23" s="0" t="s">
        <v>2565</v>
      </c>
      <c r="F23" s="0" t="s">
        <v>2566</v>
      </c>
      <c r="G23" s="0" t="s">
        <v>22</v>
      </c>
      <c r="H23" s="0" t="s">
        <v>22</v>
      </c>
      <c r="I23" s="0" t="s">
        <v>848</v>
      </c>
    </row>
    <row customHeight="1" ht="11.25">
      <c r="A24" s="1856" t="s">
        <v>2485</v>
      </c>
      <c r="B24" s="1856" t="s">
        <v>16</v>
      </c>
      <c r="C24" s="0" t="s">
        <v>2567</v>
      </c>
      <c r="D24" s="0" t="s">
        <v>2568</v>
      </c>
      <c r="E24" s="0" t="s">
        <v>2569</v>
      </c>
      <c r="F24" s="0" t="s">
        <v>2537</v>
      </c>
      <c r="G24" s="0" t="s">
        <v>2570</v>
      </c>
      <c r="H24" s="0" t="s">
        <v>22</v>
      </c>
      <c r="I24" s="0" t="s">
        <v>848</v>
      </c>
    </row>
    <row customHeight="1" ht="11.25">
      <c r="A25" s="1856" t="s">
        <v>2485</v>
      </c>
      <c r="B25" s="1856" t="s">
        <v>16</v>
      </c>
      <c r="C25" s="0" t="s">
        <v>2571</v>
      </c>
      <c r="D25" s="0" t="s">
        <v>2572</v>
      </c>
      <c r="E25" s="0" t="s">
        <v>2573</v>
      </c>
      <c r="F25" s="0" t="s">
        <v>2574</v>
      </c>
      <c r="G25" s="0" t="s">
        <v>22</v>
      </c>
      <c r="H25" s="0" t="s">
        <v>22</v>
      </c>
      <c r="I25" s="0" t="s">
        <v>848</v>
      </c>
    </row>
    <row customHeight="1" ht="11.25">
      <c r="A26" s="1856" t="s">
        <v>2485</v>
      </c>
      <c r="B26" s="1856" t="s">
        <v>16</v>
      </c>
      <c r="C26" s="0" t="s">
        <v>2575</v>
      </c>
      <c r="D26" s="0" t="s">
        <v>2576</v>
      </c>
      <c r="E26" s="0" t="s">
        <v>2577</v>
      </c>
      <c r="F26" s="0" t="s">
        <v>2488</v>
      </c>
      <c r="G26" s="0" t="s">
        <v>2578</v>
      </c>
      <c r="H26" s="0" t="s">
        <v>22</v>
      </c>
      <c r="I26" s="0" t="s">
        <v>848</v>
      </c>
    </row>
    <row customHeight="1" ht="11.25">
      <c r="A27" s="1856" t="s">
        <v>2485</v>
      </c>
      <c r="B27" s="1856" t="s">
        <v>16</v>
      </c>
      <c r="C27" s="0" t="s">
        <v>2579</v>
      </c>
      <c r="D27" s="0" t="s">
        <v>2580</v>
      </c>
      <c r="E27" s="0" t="s">
        <v>2581</v>
      </c>
      <c r="F27" s="0" t="s">
        <v>2582</v>
      </c>
      <c r="G27" s="0" t="s">
        <v>22</v>
      </c>
      <c r="H27" s="0" t="s">
        <v>22</v>
      </c>
      <c r="I27" s="0" t="s">
        <v>848</v>
      </c>
    </row>
    <row customHeight="1" ht="11.25">
      <c r="A28" s="1856" t="s">
        <v>2485</v>
      </c>
      <c r="B28" s="1856" t="s">
        <v>16</v>
      </c>
      <c r="C28" s="0" t="s">
        <v>2583</v>
      </c>
      <c r="D28" s="0" t="s">
        <v>2584</v>
      </c>
      <c r="E28" s="0" t="s">
        <v>2585</v>
      </c>
      <c r="F28" s="0" t="s">
        <v>2537</v>
      </c>
      <c r="G28" s="0" t="s">
        <v>22</v>
      </c>
      <c r="H28" s="0" t="s">
        <v>22</v>
      </c>
      <c r="I28" s="0" t="s">
        <v>848</v>
      </c>
    </row>
    <row customHeight="1" ht="11.25">
      <c r="A29" s="1856" t="s">
        <v>2485</v>
      </c>
      <c r="B29" s="1856" t="s">
        <v>16</v>
      </c>
      <c r="C29" s="0" t="s">
        <v>2586</v>
      </c>
      <c r="D29" s="0" t="s">
        <v>2587</v>
      </c>
      <c r="E29" s="0" t="s">
        <v>2588</v>
      </c>
      <c r="F29" s="0" t="s">
        <v>2488</v>
      </c>
      <c r="G29" s="0" t="s">
        <v>22</v>
      </c>
      <c r="H29" s="0" t="s">
        <v>22</v>
      </c>
      <c r="I29" s="0" t="s">
        <v>848</v>
      </c>
    </row>
    <row customHeight="1" ht="11.25">
      <c r="A30" s="1856" t="s">
        <v>2485</v>
      </c>
      <c r="B30" s="1856" t="s">
        <v>16</v>
      </c>
      <c r="C30" s="0" t="s">
        <v>2589</v>
      </c>
      <c r="D30" s="0" t="s">
        <v>2590</v>
      </c>
      <c r="E30" s="0" t="s">
        <v>2591</v>
      </c>
      <c r="F30" s="0" t="s">
        <v>2592</v>
      </c>
      <c r="G30" s="0" t="s">
        <v>22</v>
      </c>
      <c r="H30" s="0" t="s">
        <v>22</v>
      </c>
      <c r="I30" s="0" t="s">
        <v>848</v>
      </c>
    </row>
    <row customHeight="1" ht="11.25">
      <c r="A31" s="1856" t="s">
        <v>2485</v>
      </c>
      <c r="B31" s="1856" t="s">
        <v>16</v>
      </c>
      <c r="C31" s="0" t="s">
        <v>2593</v>
      </c>
      <c r="D31" s="0" t="s">
        <v>2594</v>
      </c>
      <c r="E31" s="0" t="s">
        <v>2595</v>
      </c>
      <c r="F31" s="0" t="s">
        <v>2596</v>
      </c>
      <c r="G31" s="0" t="s">
        <v>22</v>
      </c>
      <c r="H31" s="0" t="s">
        <v>22</v>
      </c>
      <c r="I31" s="0" t="s">
        <v>848</v>
      </c>
    </row>
    <row customHeight="1" ht="11.25">
      <c r="A32" s="1856" t="s">
        <v>2485</v>
      </c>
      <c r="B32" s="1856" t="s">
        <v>16</v>
      </c>
      <c r="C32" s="0" t="s">
        <v>2597</v>
      </c>
      <c r="D32" s="0" t="s">
        <v>2598</v>
      </c>
      <c r="E32" s="0" t="s">
        <v>2595</v>
      </c>
      <c r="F32" s="0" t="s">
        <v>2599</v>
      </c>
      <c r="G32" s="0" t="s">
        <v>22</v>
      </c>
      <c r="H32" s="0" t="s">
        <v>22</v>
      </c>
      <c r="I32" s="0" t="s">
        <v>848</v>
      </c>
    </row>
    <row customHeight="1" ht="11.25">
      <c r="A33" s="1856" t="s">
        <v>2485</v>
      </c>
      <c r="B33" s="1856" t="s">
        <v>16</v>
      </c>
      <c r="C33" s="0" t="s">
        <v>2600</v>
      </c>
      <c r="D33" s="0" t="s">
        <v>2601</v>
      </c>
      <c r="E33" s="0" t="s">
        <v>2602</v>
      </c>
      <c r="F33" s="0" t="s">
        <v>2603</v>
      </c>
      <c r="G33" s="0" t="s">
        <v>22</v>
      </c>
      <c r="H33" s="0" t="s">
        <v>2604</v>
      </c>
      <c r="I33" s="0" t="s">
        <v>848</v>
      </c>
    </row>
    <row customHeight="1" ht="11.25">
      <c r="A34" s="1856" t="s">
        <v>2485</v>
      </c>
      <c r="B34" s="1856" t="s">
        <v>16</v>
      </c>
      <c r="C34" s="0" t="s">
        <v>2605</v>
      </c>
      <c r="D34" s="0" t="s">
        <v>2606</v>
      </c>
      <c r="E34" s="0" t="s">
        <v>2607</v>
      </c>
      <c r="F34" s="0" t="s">
        <v>2566</v>
      </c>
      <c r="G34" s="0" t="s">
        <v>2608</v>
      </c>
      <c r="H34" s="0" t="s">
        <v>22</v>
      </c>
      <c r="I34" s="0" t="s">
        <v>848</v>
      </c>
    </row>
    <row customHeight="1" ht="11.25">
      <c r="A35" s="1856" t="s">
        <v>2485</v>
      </c>
      <c r="B35" s="1856" t="s">
        <v>16</v>
      </c>
      <c r="C35" s="0" t="s">
        <v>2609</v>
      </c>
      <c r="D35" s="0" t="s">
        <v>2610</v>
      </c>
      <c r="E35" s="0" t="s">
        <v>2611</v>
      </c>
      <c r="F35" s="0" t="s">
        <v>2549</v>
      </c>
      <c r="G35" s="0" t="s">
        <v>22</v>
      </c>
      <c r="H35" s="0" t="s">
        <v>22</v>
      </c>
      <c r="I35" s="0" t="s">
        <v>848</v>
      </c>
    </row>
    <row customHeight="1" ht="11.25">
      <c r="A36" s="1856" t="s">
        <v>2485</v>
      </c>
      <c r="B36" s="1856" t="s">
        <v>16</v>
      </c>
      <c r="C36" s="0" t="s">
        <v>2612</v>
      </c>
      <c r="D36" s="0" t="s">
        <v>2613</v>
      </c>
      <c r="E36" s="0" t="s">
        <v>2614</v>
      </c>
      <c r="F36" s="0" t="s">
        <v>2537</v>
      </c>
      <c r="G36" s="0" t="s">
        <v>22</v>
      </c>
      <c r="H36" s="0" t="s">
        <v>2615</v>
      </c>
      <c r="I36" s="0" t="s">
        <v>848</v>
      </c>
    </row>
    <row customHeight="1" ht="11.25">
      <c r="A37" s="1856" t="s">
        <v>2485</v>
      </c>
      <c r="B37" s="1856" t="s">
        <v>16</v>
      </c>
      <c r="C37" s="0" t="s">
        <v>2616</v>
      </c>
      <c r="D37" s="0" t="s">
        <v>2617</v>
      </c>
      <c r="E37" s="0" t="s">
        <v>2618</v>
      </c>
      <c r="F37" s="0" t="s">
        <v>594</v>
      </c>
      <c r="G37" s="0" t="s">
        <v>2619</v>
      </c>
      <c r="H37" s="0" t="s">
        <v>22</v>
      </c>
      <c r="I37" s="0" t="s">
        <v>848</v>
      </c>
    </row>
    <row customHeight="1" ht="11.25">
      <c r="A38" s="1856" t="s">
        <v>2485</v>
      </c>
      <c r="B38" s="1856" t="s">
        <v>16</v>
      </c>
      <c r="C38" s="0" t="s">
        <v>2620</v>
      </c>
      <c r="D38" s="0" t="s">
        <v>2621</v>
      </c>
      <c r="E38" s="0" t="s">
        <v>2622</v>
      </c>
      <c r="F38" s="0" t="s">
        <v>2537</v>
      </c>
      <c r="G38" s="0" t="s">
        <v>22</v>
      </c>
      <c r="H38" s="0" t="s">
        <v>22</v>
      </c>
      <c r="I38" s="0" t="s">
        <v>848</v>
      </c>
    </row>
    <row customHeight="1" ht="11.25">
      <c r="A39" s="1856" t="s">
        <v>2485</v>
      </c>
      <c r="B39" s="1856" t="s">
        <v>16</v>
      </c>
      <c r="C39" s="0" t="s">
        <v>2623</v>
      </c>
      <c r="D39" s="0" t="s">
        <v>2624</v>
      </c>
      <c r="E39" s="0" t="s">
        <v>2625</v>
      </c>
      <c r="F39" s="0" t="s">
        <v>2626</v>
      </c>
      <c r="G39" s="0" t="s">
        <v>2627</v>
      </c>
      <c r="H39" s="0" t="s">
        <v>22</v>
      </c>
      <c r="I39" s="0" t="s">
        <v>848</v>
      </c>
    </row>
    <row customHeight="1" ht="11.25">
      <c r="A40" s="1856" t="s">
        <v>2485</v>
      </c>
      <c r="B40" s="1856" t="s">
        <v>16</v>
      </c>
      <c r="C40" s="0" t="s">
        <v>2628</v>
      </c>
      <c r="D40" s="0" t="s">
        <v>2629</v>
      </c>
      <c r="E40" s="0" t="s">
        <v>2630</v>
      </c>
      <c r="F40" s="0" t="s">
        <v>2603</v>
      </c>
      <c r="G40" s="0" t="s">
        <v>22</v>
      </c>
      <c r="H40" s="0" t="s">
        <v>22</v>
      </c>
      <c r="I40" s="0" t="s">
        <v>848</v>
      </c>
    </row>
    <row customHeight="1" ht="11.25">
      <c r="A41" s="1856" t="s">
        <v>2485</v>
      </c>
      <c r="B41" s="1856" t="s">
        <v>16</v>
      </c>
      <c r="C41" s="0" t="s">
        <v>2631</v>
      </c>
      <c r="D41" s="0" t="s">
        <v>2632</v>
      </c>
      <c r="E41" s="0" t="s">
        <v>2633</v>
      </c>
      <c r="F41" s="0" t="s">
        <v>2634</v>
      </c>
      <c r="G41" s="0" t="s">
        <v>22</v>
      </c>
      <c r="H41" s="0" t="s">
        <v>22</v>
      </c>
      <c r="I41" s="0" t="s">
        <v>848</v>
      </c>
    </row>
    <row customHeight="1" ht="11.25">
      <c r="A42" s="1856" t="s">
        <v>2485</v>
      </c>
      <c r="B42" s="1856" t="s">
        <v>16</v>
      </c>
      <c r="C42" s="0" t="s">
        <v>2635</v>
      </c>
      <c r="D42" s="0" t="s">
        <v>2636</v>
      </c>
      <c r="E42" s="0" t="s">
        <v>2637</v>
      </c>
      <c r="F42" s="0" t="s">
        <v>2603</v>
      </c>
      <c r="G42" s="0" t="s">
        <v>22</v>
      </c>
      <c r="H42" s="0" t="s">
        <v>22</v>
      </c>
      <c r="I42" s="0" t="s">
        <v>848</v>
      </c>
    </row>
    <row customHeight="1" ht="11.25">
      <c r="A43" s="1856" t="s">
        <v>2485</v>
      </c>
      <c r="B43" s="1856" t="s">
        <v>16</v>
      </c>
      <c r="C43" s="0" t="s">
        <v>2638</v>
      </c>
      <c r="D43" s="0" t="s">
        <v>2639</v>
      </c>
      <c r="E43" s="0" t="s">
        <v>2640</v>
      </c>
      <c r="F43" s="0" t="s">
        <v>2537</v>
      </c>
      <c r="G43" s="0" t="s">
        <v>22</v>
      </c>
      <c r="H43" s="0" t="s">
        <v>22</v>
      </c>
      <c r="I43" s="0" t="s">
        <v>848</v>
      </c>
    </row>
    <row customHeight="1" ht="11.25">
      <c r="A44" s="1856" t="s">
        <v>2485</v>
      </c>
      <c r="B44" s="1856" t="s">
        <v>16</v>
      </c>
      <c r="C44" s="0" t="s">
        <v>2641</v>
      </c>
      <c r="D44" s="0" t="s">
        <v>2642</v>
      </c>
      <c r="E44" s="0" t="s">
        <v>2643</v>
      </c>
      <c r="F44" s="0" t="s">
        <v>2644</v>
      </c>
      <c r="G44" s="0" t="s">
        <v>22</v>
      </c>
      <c r="H44" s="0" t="s">
        <v>22</v>
      </c>
      <c r="I44" s="0" t="s">
        <v>848</v>
      </c>
    </row>
    <row customHeight="1" ht="11.25">
      <c r="A45" s="1856" t="s">
        <v>2485</v>
      </c>
      <c r="B45" s="1856" t="s">
        <v>16</v>
      </c>
      <c r="C45" s="0" t="s">
        <v>2645</v>
      </c>
      <c r="D45" s="0" t="s">
        <v>2646</v>
      </c>
      <c r="E45" s="0" t="s">
        <v>2647</v>
      </c>
      <c r="F45" s="0" t="s">
        <v>2644</v>
      </c>
      <c r="G45" s="0" t="s">
        <v>22</v>
      </c>
      <c r="H45" s="0" t="s">
        <v>22</v>
      </c>
      <c r="I45" s="0" t="s">
        <v>848</v>
      </c>
    </row>
    <row customHeight="1" ht="11.25">
      <c r="A46" s="1856" t="s">
        <v>2485</v>
      </c>
      <c r="B46" s="1856" t="s">
        <v>16</v>
      </c>
      <c r="C46" s="0" t="s">
        <v>2648</v>
      </c>
      <c r="D46" s="0" t="s">
        <v>2649</v>
      </c>
      <c r="E46" s="0" t="s">
        <v>2650</v>
      </c>
      <c r="F46" s="0" t="s">
        <v>2496</v>
      </c>
      <c r="G46" s="0" t="s">
        <v>2651</v>
      </c>
      <c r="H46" s="0" t="s">
        <v>22</v>
      </c>
      <c r="I46" s="0" t="s">
        <v>848</v>
      </c>
    </row>
    <row customHeight="1" ht="11.25">
      <c r="A47" s="1856" t="s">
        <v>2485</v>
      </c>
      <c r="B47" s="1856" t="s">
        <v>16</v>
      </c>
      <c r="C47" s="0" t="s">
        <v>2652</v>
      </c>
      <c r="D47" s="0" t="s">
        <v>2653</v>
      </c>
      <c r="E47" s="0" t="s">
        <v>2654</v>
      </c>
      <c r="F47" s="0" t="s">
        <v>2655</v>
      </c>
      <c r="G47" s="0" t="s">
        <v>22</v>
      </c>
      <c r="H47" s="0" t="s">
        <v>22</v>
      </c>
      <c r="I47" s="0" t="s">
        <v>848</v>
      </c>
    </row>
    <row customHeight="1" ht="11.25">
      <c r="A48" s="1856" t="s">
        <v>2485</v>
      </c>
      <c r="B48" s="1856" t="s">
        <v>16</v>
      </c>
      <c r="C48" s="0" t="s">
        <v>2656</v>
      </c>
      <c r="D48" s="0" t="s">
        <v>2657</v>
      </c>
      <c r="E48" s="0" t="s">
        <v>2658</v>
      </c>
      <c r="F48" s="0" t="s">
        <v>2525</v>
      </c>
      <c r="G48" s="0" t="s">
        <v>22</v>
      </c>
      <c r="H48" s="0" t="s">
        <v>22</v>
      </c>
      <c r="I48" s="0" t="s">
        <v>848</v>
      </c>
    </row>
    <row customHeight="1" ht="11.25">
      <c r="A49" s="1856" t="s">
        <v>2485</v>
      </c>
      <c r="B49" s="1856" t="s">
        <v>16</v>
      </c>
      <c r="C49" s="0" t="s">
        <v>2659</v>
      </c>
      <c r="D49" s="0" t="s">
        <v>2660</v>
      </c>
      <c r="E49" s="0" t="s">
        <v>2661</v>
      </c>
      <c r="F49" s="0" t="s">
        <v>2662</v>
      </c>
      <c r="G49" s="0" t="s">
        <v>22</v>
      </c>
      <c r="H49" s="0" t="s">
        <v>22</v>
      </c>
      <c r="I49" s="0" t="s">
        <v>848</v>
      </c>
    </row>
    <row customHeight="1" ht="11.25">
      <c r="A50" s="1856" t="s">
        <v>2485</v>
      </c>
      <c r="B50" s="1856" t="s">
        <v>16</v>
      </c>
      <c r="C50" s="0" t="s">
        <v>2663</v>
      </c>
      <c r="D50" s="0" t="s">
        <v>2664</v>
      </c>
      <c r="E50" s="0" t="s">
        <v>2665</v>
      </c>
      <c r="F50" s="0" t="s">
        <v>2533</v>
      </c>
      <c r="G50" s="0" t="s">
        <v>22</v>
      </c>
      <c r="H50" s="0" t="s">
        <v>22</v>
      </c>
      <c r="I50" s="0" t="s">
        <v>848</v>
      </c>
    </row>
    <row customHeight="1" ht="11.25">
      <c r="A51" s="1856" t="s">
        <v>2485</v>
      </c>
      <c r="B51" s="1856" t="s">
        <v>16</v>
      </c>
      <c r="C51" s="0" t="s">
        <v>2666</v>
      </c>
      <c r="D51" s="0" t="s">
        <v>2667</v>
      </c>
      <c r="E51" s="0" t="s">
        <v>2668</v>
      </c>
      <c r="F51" s="0" t="s">
        <v>2533</v>
      </c>
      <c r="G51" s="0" t="s">
        <v>22</v>
      </c>
      <c r="H51" s="0" t="s">
        <v>22</v>
      </c>
      <c r="I51" s="0" t="s">
        <v>848</v>
      </c>
    </row>
    <row customHeight="1" ht="11.25">
      <c r="A52" s="1856" t="s">
        <v>2485</v>
      </c>
      <c r="B52" s="1856" t="s">
        <v>16</v>
      </c>
      <c r="C52" s="0" t="s">
        <v>2669</v>
      </c>
      <c r="D52" s="0" t="s">
        <v>2670</v>
      </c>
      <c r="E52" s="0" t="s">
        <v>2671</v>
      </c>
      <c r="F52" s="0" t="s">
        <v>2672</v>
      </c>
      <c r="G52" s="0" t="s">
        <v>22</v>
      </c>
      <c r="H52" s="0" t="s">
        <v>22</v>
      </c>
      <c r="I52" s="0" t="s">
        <v>848</v>
      </c>
    </row>
    <row customHeight="1" ht="11.25">
      <c r="A53" s="1856" t="s">
        <v>2485</v>
      </c>
      <c r="B53" s="1856" t="s">
        <v>16</v>
      </c>
      <c r="C53" s="0" t="s">
        <v>2673</v>
      </c>
      <c r="D53" s="0" t="s">
        <v>2674</v>
      </c>
      <c r="E53" s="0" t="s">
        <v>2675</v>
      </c>
      <c r="F53" s="0" t="s">
        <v>2537</v>
      </c>
      <c r="G53" s="0" t="s">
        <v>22</v>
      </c>
      <c r="H53" s="0" t="s">
        <v>22</v>
      </c>
      <c r="I53" s="0" t="s">
        <v>848</v>
      </c>
    </row>
    <row customHeight="1" ht="11.25">
      <c r="A54" s="1856" t="s">
        <v>2485</v>
      </c>
      <c r="B54" s="1856" t="s">
        <v>16</v>
      </c>
      <c r="C54" s="0" t="s">
        <v>2676</v>
      </c>
      <c r="D54" s="0" t="s">
        <v>2677</v>
      </c>
      <c r="E54" s="0" t="s">
        <v>2678</v>
      </c>
      <c r="F54" s="0" t="s">
        <v>2662</v>
      </c>
      <c r="G54" s="0" t="s">
        <v>22</v>
      </c>
      <c r="H54" s="0" t="s">
        <v>22</v>
      </c>
      <c r="I54" s="0" t="s">
        <v>848</v>
      </c>
    </row>
    <row customHeight="1" ht="11.25">
      <c r="A55" s="1856" t="s">
        <v>2485</v>
      </c>
      <c r="B55" s="1856" t="s">
        <v>16</v>
      </c>
      <c r="C55" s="0" t="s">
        <v>2679</v>
      </c>
      <c r="D55" s="0" t="s">
        <v>2680</v>
      </c>
      <c r="E55" s="0" t="s">
        <v>2681</v>
      </c>
      <c r="F55" s="0" t="s">
        <v>2682</v>
      </c>
      <c r="G55" s="0" t="s">
        <v>22</v>
      </c>
      <c r="H55" s="0" t="s">
        <v>22</v>
      </c>
      <c r="I55" s="0" t="s">
        <v>848</v>
      </c>
    </row>
    <row customHeight="1" ht="11.25">
      <c r="A56" s="1856" t="s">
        <v>2485</v>
      </c>
      <c r="B56" s="1856" t="s">
        <v>16</v>
      </c>
      <c r="C56" s="0" t="s">
        <v>2683</v>
      </c>
      <c r="D56" s="0" t="s">
        <v>2684</v>
      </c>
      <c r="E56" s="0" t="s">
        <v>2685</v>
      </c>
      <c r="F56" s="0" t="s">
        <v>2644</v>
      </c>
      <c r="G56" s="0" t="s">
        <v>22</v>
      </c>
      <c r="H56" s="0" t="s">
        <v>2506</v>
      </c>
      <c r="I56" s="0" t="s">
        <v>848</v>
      </c>
    </row>
    <row customHeight="1" ht="11.25">
      <c r="A57" s="1856" t="s">
        <v>2485</v>
      </c>
      <c r="B57" s="1856" t="s">
        <v>16</v>
      </c>
      <c r="C57" s="0" t="s">
        <v>2686</v>
      </c>
      <c r="D57" s="0" t="s">
        <v>2687</v>
      </c>
      <c r="E57" s="0" t="s">
        <v>2688</v>
      </c>
      <c r="F57" s="0" t="s">
        <v>2689</v>
      </c>
      <c r="G57" s="0" t="s">
        <v>22</v>
      </c>
      <c r="H57" s="0" t="s">
        <v>22</v>
      </c>
      <c r="I57" s="0" t="s">
        <v>848</v>
      </c>
    </row>
    <row customHeight="1" ht="11.25">
      <c r="A58" s="1856" t="s">
        <v>2485</v>
      </c>
      <c r="B58" s="1856" t="s">
        <v>16</v>
      </c>
      <c r="C58" s="0" t="s">
        <v>2690</v>
      </c>
      <c r="D58" s="0" t="s">
        <v>2691</v>
      </c>
      <c r="E58" s="0" t="s">
        <v>2692</v>
      </c>
      <c r="F58" s="0" t="s">
        <v>2549</v>
      </c>
      <c r="G58" s="0" t="s">
        <v>22</v>
      </c>
      <c r="H58" s="0" t="s">
        <v>22</v>
      </c>
      <c r="I58" s="0" t="s">
        <v>848</v>
      </c>
    </row>
    <row customHeight="1" ht="11.25">
      <c r="A59" s="1856" t="s">
        <v>2485</v>
      </c>
      <c r="B59" s="1856" t="s">
        <v>16</v>
      </c>
      <c r="C59" s="0" t="s">
        <v>2693</v>
      </c>
      <c r="D59" s="0" t="s">
        <v>2694</v>
      </c>
      <c r="E59" s="0" t="s">
        <v>2695</v>
      </c>
      <c r="F59" s="0" t="s">
        <v>2696</v>
      </c>
      <c r="G59" s="0" t="s">
        <v>22</v>
      </c>
      <c r="H59" s="0" t="s">
        <v>22</v>
      </c>
      <c r="I59" s="0" t="s">
        <v>848</v>
      </c>
    </row>
    <row customHeight="1" ht="11.25">
      <c r="A60" s="1856" t="s">
        <v>2485</v>
      </c>
      <c r="B60" s="1856" t="s">
        <v>16</v>
      </c>
      <c r="C60" s="0" t="s">
        <v>2697</v>
      </c>
      <c r="D60" s="0" t="s">
        <v>2698</v>
      </c>
      <c r="E60" s="0" t="s">
        <v>49</v>
      </c>
      <c r="F60" s="0" t="s">
        <v>2699</v>
      </c>
      <c r="G60" s="0" t="s">
        <v>22</v>
      </c>
      <c r="H60" s="0" t="s">
        <v>22</v>
      </c>
      <c r="I60" s="0" t="s">
        <v>848</v>
      </c>
    </row>
    <row customHeight="1" ht="11.25">
      <c r="A61" s="1856" t="s">
        <v>2485</v>
      </c>
      <c r="B61" s="1856" t="s">
        <v>16</v>
      </c>
      <c r="C61" s="0" t="s">
        <v>2700</v>
      </c>
      <c r="D61" s="0" t="s">
        <v>2701</v>
      </c>
      <c r="E61" s="0" t="s">
        <v>2702</v>
      </c>
      <c r="F61" s="0" t="s">
        <v>2703</v>
      </c>
      <c r="G61" s="0" t="s">
        <v>22</v>
      </c>
      <c r="H61" s="0" t="s">
        <v>22</v>
      </c>
      <c r="I61" s="0" t="s">
        <v>848</v>
      </c>
    </row>
    <row customHeight="1" ht="11.25">
      <c r="A62" s="1856" t="s">
        <v>2485</v>
      </c>
      <c r="B62" s="1856" t="s">
        <v>16</v>
      </c>
      <c r="C62" s="0" t="s">
        <v>2704</v>
      </c>
      <c r="D62" s="0" t="s">
        <v>2705</v>
      </c>
      <c r="E62" s="0" t="s">
        <v>2706</v>
      </c>
      <c r="F62" s="0" t="s">
        <v>2703</v>
      </c>
      <c r="G62" s="0" t="s">
        <v>22</v>
      </c>
      <c r="H62" s="0" t="s">
        <v>22</v>
      </c>
      <c r="I62" s="0" t="s">
        <v>848</v>
      </c>
    </row>
    <row customHeight="1" ht="11.25">
      <c r="A63" s="1856" t="s">
        <v>2485</v>
      </c>
      <c r="B63" s="1856" t="s">
        <v>16</v>
      </c>
      <c r="C63" s="0" t="s">
        <v>2707</v>
      </c>
      <c r="D63" s="0" t="s">
        <v>2708</v>
      </c>
      <c r="E63" s="0" t="s">
        <v>2595</v>
      </c>
      <c r="F63" s="0" t="s">
        <v>2709</v>
      </c>
      <c r="G63" s="0" t="s">
        <v>22</v>
      </c>
      <c r="H63" s="0" t="s">
        <v>22</v>
      </c>
      <c r="I63" s="0" t="s">
        <v>848</v>
      </c>
    </row>
    <row customHeight="1" ht="11.25">
      <c r="A64" s="1856" t="s">
        <v>2485</v>
      </c>
      <c r="B64" s="1856" t="s">
        <v>16</v>
      </c>
      <c r="C64" s="0" t="s">
        <v>2710</v>
      </c>
      <c r="D64" s="0" t="s">
        <v>2711</v>
      </c>
      <c r="E64" s="0" t="s">
        <v>2712</v>
      </c>
      <c r="F64" s="0" t="s">
        <v>2533</v>
      </c>
      <c r="G64" s="0" t="s">
        <v>22</v>
      </c>
      <c r="H64" s="0" t="s">
        <v>22</v>
      </c>
      <c r="I64" s="0" t="s">
        <v>848</v>
      </c>
    </row>
    <row customHeight="1" ht="11.25">
      <c r="A65" s="1856" t="s">
        <v>2485</v>
      </c>
      <c r="B65" s="1856" t="s">
        <v>16</v>
      </c>
      <c r="C65" s="0" t="s">
        <v>2713</v>
      </c>
      <c r="D65" s="0" t="s">
        <v>2714</v>
      </c>
      <c r="E65" s="0" t="s">
        <v>2715</v>
      </c>
      <c r="F65" s="0" t="s">
        <v>2549</v>
      </c>
      <c r="G65" s="0" t="s">
        <v>22</v>
      </c>
      <c r="H65" s="0" t="s">
        <v>22</v>
      </c>
      <c r="I65" s="0" t="s">
        <v>848</v>
      </c>
    </row>
    <row customHeight="1" ht="11.25">
      <c r="A66" s="1856" t="s">
        <v>2485</v>
      </c>
      <c r="B66" s="1856" t="s">
        <v>16</v>
      </c>
      <c r="C66" s="0" t="s">
        <v>2716</v>
      </c>
      <c r="D66" s="0" t="s">
        <v>2717</v>
      </c>
      <c r="E66" s="0" t="s">
        <v>2718</v>
      </c>
      <c r="F66" s="0" t="s">
        <v>2549</v>
      </c>
      <c r="G66" s="0" t="s">
        <v>22</v>
      </c>
      <c r="H66" s="0" t="s">
        <v>22</v>
      </c>
      <c r="I66" s="0" t="s">
        <v>848</v>
      </c>
    </row>
    <row customHeight="1" ht="11.25">
      <c r="A67" s="1856" t="s">
        <v>2485</v>
      </c>
      <c r="B67" s="1856" t="s">
        <v>16</v>
      </c>
      <c r="C67" s="0" t="s">
        <v>2719</v>
      </c>
      <c r="D67" s="0" t="s">
        <v>2720</v>
      </c>
      <c r="E67" s="0" t="s">
        <v>2721</v>
      </c>
      <c r="F67" s="0" t="s">
        <v>2492</v>
      </c>
      <c r="G67" s="0" t="s">
        <v>22</v>
      </c>
      <c r="H67" s="0" t="s">
        <v>22</v>
      </c>
      <c r="I67" s="0" t="s">
        <v>848</v>
      </c>
    </row>
    <row customHeight="1" ht="11.25">
      <c r="A68" s="1856" t="s">
        <v>2485</v>
      </c>
      <c r="B68" s="1856" t="s">
        <v>16</v>
      </c>
      <c r="C68" s="0" t="s">
        <v>2722</v>
      </c>
      <c r="D68" s="0" t="s">
        <v>2723</v>
      </c>
      <c r="E68" s="0" t="s">
        <v>2724</v>
      </c>
      <c r="F68" s="0" t="s">
        <v>2644</v>
      </c>
      <c r="G68" s="0" t="s">
        <v>22</v>
      </c>
      <c r="H68" s="0" t="s">
        <v>22</v>
      </c>
      <c r="I68" s="0" t="s">
        <v>848</v>
      </c>
    </row>
    <row customHeight="1" ht="11.25">
      <c r="A69" s="1856" t="s">
        <v>2485</v>
      </c>
      <c r="B69" s="1856" t="s">
        <v>16</v>
      </c>
      <c r="C69" s="0" t="s">
        <v>2725</v>
      </c>
      <c r="D69" s="0" t="s">
        <v>2726</v>
      </c>
      <c r="E69" s="0" t="s">
        <v>2727</v>
      </c>
      <c r="F69" s="0" t="s">
        <v>2728</v>
      </c>
      <c r="G69" s="0" t="s">
        <v>2729</v>
      </c>
      <c r="H69" s="0" t="s">
        <v>2730</v>
      </c>
      <c r="I69" s="0" t="s">
        <v>848</v>
      </c>
    </row>
    <row customHeight="1" ht="11.25">
      <c r="A70" s="1856" t="s">
        <v>2485</v>
      </c>
      <c r="B70" s="1856" t="s">
        <v>16</v>
      </c>
      <c r="C70" s="0" t="s">
        <v>2731</v>
      </c>
      <c r="D70" s="0" t="s">
        <v>2732</v>
      </c>
      <c r="E70" s="0" t="s">
        <v>2733</v>
      </c>
      <c r="F70" s="0" t="s">
        <v>2492</v>
      </c>
      <c r="G70" s="0" t="s">
        <v>2734</v>
      </c>
      <c r="H70" s="0" t="s">
        <v>22</v>
      </c>
      <c r="I70" s="0" t="s">
        <v>848</v>
      </c>
    </row>
    <row customHeight="1" ht="11.25">
      <c r="A71" s="1856" t="s">
        <v>2485</v>
      </c>
      <c r="B71" s="1856" t="s">
        <v>16</v>
      </c>
      <c r="C71" s="0" t="s">
        <v>2735</v>
      </c>
      <c r="D71" s="0" t="s">
        <v>2736</v>
      </c>
      <c r="E71" s="0" t="s">
        <v>2737</v>
      </c>
      <c r="F71" s="0" t="s">
        <v>2492</v>
      </c>
      <c r="G71" s="0" t="s">
        <v>2738</v>
      </c>
      <c r="H71" s="0" t="s">
        <v>22</v>
      </c>
      <c r="I71" s="0" t="s">
        <v>848</v>
      </c>
    </row>
    <row customHeight="1" ht="11.25">
      <c r="A72" s="1856" t="s">
        <v>2485</v>
      </c>
      <c r="B72" s="1856" t="s">
        <v>16</v>
      </c>
      <c r="C72" s="0" t="s">
        <v>2739</v>
      </c>
      <c r="D72" s="0" t="s">
        <v>2740</v>
      </c>
      <c r="E72" s="0" t="s">
        <v>2741</v>
      </c>
      <c r="F72" s="0" t="s">
        <v>2742</v>
      </c>
      <c r="G72" s="0" t="s">
        <v>22</v>
      </c>
      <c r="H72" s="0" t="s">
        <v>22</v>
      </c>
      <c r="I72" s="0" t="s">
        <v>848</v>
      </c>
    </row>
    <row customHeight="1" ht="11.25">
      <c r="A73" s="1856" t="s">
        <v>2485</v>
      </c>
      <c r="B73" s="1856" t="s">
        <v>16</v>
      </c>
      <c r="C73" s="0" t="s">
        <v>2743</v>
      </c>
      <c r="D73" s="0" t="s">
        <v>2744</v>
      </c>
      <c r="E73" s="0" t="s">
        <v>2745</v>
      </c>
      <c r="F73" s="0" t="s">
        <v>2728</v>
      </c>
      <c r="G73" s="0" t="s">
        <v>22</v>
      </c>
      <c r="H73" s="0" t="s">
        <v>22</v>
      </c>
      <c r="I73" s="0" t="s">
        <v>848</v>
      </c>
    </row>
    <row customHeight="1" ht="11.25">
      <c r="A74" s="1856" t="s">
        <v>2485</v>
      </c>
      <c r="B74" s="1856" t="s">
        <v>16</v>
      </c>
      <c r="C74" s="0" t="s">
        <v>2746</v>
      </c>
      <c r="D74" s="0" t="s">
        <v>2747</v>
      </c>
      <c r="E74" s="0" t="s">
        <v>2748</v>
      </c>
      <c r="F74" s="0" t="s">
        <v>2549</v>
      </c>
      <c r="G74" s="0" t="s">
        <v>22</v>
      </c>
      <c r="H74" s="0" t="s">
        <v>22</v>
      </c>
      <c r="I74" s="0" t="s">
        <v>848</v>
      </c>
    </row>
    <row customHeight="1" ht="11.25">
      <c r="A75" s="1856" t="s">
        <v>2485</v>
      </c>
      <c r="B75" s="1856" t="s">
        <v>16</v>
      </c>
      <c r="C75" s="0" t="s">
        <v>2749</v>
      </c>
      <c r="D75" s="0" t="s">
        <v>2750</v>
      </c>
      <c r="E75" s="0" t="s">
        <v>2751</v>
      </c>
      <c r="F75" s="0" t="s">
        <v>2728</v>
      </c>
      <c r="G75" s="0" t="s">
        <v>22</v>
      </c>
      <c r="H75" s="0" t="s">
        <v>22</v>
      </c>
      <c r="I75" s="0" t="s">
        <v>848</v>
      </c>
    </row>
    <row customHeight="1" ht="11.25">
      <c r="A76" s="1856" t="s">
        <v>2485</v>
      </c>
      <c r="B76" s="1856" t="s">
        <v>16</v>
      </c>
      <c r="C76" s="0" t="s">
        <v>2752</v>
      </c>
      <c r="D76" s="0" t="s">
        <v>2753</v>
      </c>
      <c r="E76" s="0" t="s">
        <v>2754</v>
      </c>
      <c r="F76" s="0" t="s">
        <v>2634</v>
      </c>
      <c r="G76" s="0" t="s">
        <v>2755</v>
      </c>
      <c r="H76" s="0" t="s">
        <v>22</v>
      </c>
      <c r="I76" s="0" t="s">
        <v>848</v>
      </c>
    </row>
    <row customHeight="1" ht="11.25">
      <c r="A77" s="1856" t="s">
        <v>2485</v>
      </c>
      <c r="B77" s="1856" t="s">
        <v>16</v>
      </c>
      <c r="C77" s="0" t="s">
        <v>2756</v>
      </c>
      <c r="D77" s="0" t="s">
        <v>2757</v>
      </c>
      <c r="E77" s="0" t="s">
        <v>2758</v>
      </c>
      <c r="F77" s="0" t="s">
        <v>2759</v>
      </c>
      <c r="G77" s="0" t="s">
        <v>2760</v>
      </c>
      <c r="H77" s="0" t="s">
        <v>22</v>
      </c>
      <c r="I77" s="0" t="s">
        <v>848</v>
      </c>
    </row>
    <row customHeight="1" ht="11.25">
      <c r="A78" s="1856" t="s">
        <v>2485</v>
      </c>
      <c r="B78" s="1856" t="s">
        <v>16</v>
      </c>
      <c r="C78" s="0" t="s">
        <v>2761</v>
      </c>
      <c r="D78" s="0" t="s">
        <v>2762</v>
      </c>
      <c r="E78" s="0" t="s">
        <v>2763</v>
      </c>
      <c r="F78" s="0" t="s">
        <v>2728</v>
      </c>
      <c r="G78" s="0" t="s">
        <v>22</v>
      </c>
      <c r="H78" s="0" t="s">
        <v>22</v>
      </c>
      <c r="I78" s="0" t="s">
        <v>848</v>
      </c>
    </row>
    <row customHeight="1" ht="11.25">
      <c r="A79" s="1856" t="s">
        <v>2485</v>
      </c>
      <c r="B79" s="1856" t="s">
        <v>16</v>
      </c>
      <c r="C79" s="0" t="s">
        <v>2764</v>
      </c>
      <c r="D79" s="0" t="s">
        <v>2765</v>
      </c>
      <c r="E79" s="0" t="s">
        <v>2766</v>
      </c>
      <c r="F79" s="0" t="s">
        <v>2728</v>
      </c>
      <c r="G79" s="0" t="s">
        <v>22</v>
      </c>
      <c r="H79" s="0" t="s">
        <v>22</v>
      </c>
      <c r="I79" s="0" t="s">
        <v>848</v>
      </c>
    </row>
    <row customHeight="1" ht="11.25">
      <c r="A80" s="1856" t="s">
        <v>2485</v>
      </c>
      <c r="B80" s="1856" t="s">
        <v>16</v>
      </c>
      <c r="C80" s="0" t="s">
        <v>2767</v>
      </c>
      <c r="D80" s="0" t="s">
        <v>2768</v>
      </c>
      <c r="E80" s="0" t="s">
        <v>2769</v>
      </c>
      <c r="F80" s="0" t="s">
        <v>2505</v>
      </c>
      <c r="G80" s="0" t="s">
        <v>22</v>
      </c>
      <c r="H80" s="0" t="s">
        <v>22</v>
      </c>
      <c r="I80" s="0" t="s">
        <v>848</v>
      </c>
    </row>
    <row customHeight="1" ht="11.25">
      <c r="A81" s="1856" t="s">
        <v>2485</v>
      </c>
      <c r="B81" s="1856" t="s">
        <v>16</v>
      </c>
      <c r="C81" s="0" t="s">
        <v>2770</v>
      </c>
      <c r="D81" s="0" t="s">
        <v>2771</v>
      </c>
      <c r="E81" s="0" t="s">
        <v>2772</v>
      </c>
      <c r="F81" s="0" t="s">
        <v>2488</v>
      </c>
      <c r="G81" s="0" t="s">
        <v>2773</v>
      </c>
      <c r="H81" s="0" t="s">
        <v>22</v>
      </c>
      <c r="I81" s="0" t="s">
        <v>848</v>
      </c>
    </row>
    <row customHeight="1" ht="11.25">
      <c r="A82" s="1856" t="s">
        <v>2485</v>
      </c>
      <c r="B82" s="1856" t="s">
        <v>16</v>
      </c>
      <c r="C82" s="0" t="s">
        <v>2774</v>
      </c>
      <c r="D82" s="0" t="s">
        <v>2775</v>
      </c>
      <c r="E82" s="0" t="s">
        <v>2776</v>
      </c>
      <c r="F82" s="0" t="s">
        <v>2488</v>
      </c>
      <c r="G82" s="0" t="s">
        <v>22</v>
      </c>
      <c r="H82" s="0" t="s">
        <v>22</v>
      </c>
      <c r="I82" s="0" t="s">
        <v>848</v>
      </c>
    </row>
    <row customHeight="1" ht="11.25">
      <c r="A83" s="1856" t="s">
        <v>2485</v>
      </c>
      <c r="B83" s="1856" t="s">
        <v>16</v>
      </c>
      <c r="C83" s="0" t="s">
        <v>2777</v>
      </c>
      <c r="D83" s="0" t="s">
        <v>2778</v>
      </c>
      <c r="E83" s="0" t="s">
        <v>2779</v>
      </c>
      <c r="F83" s="0" t="s">
        <v>2537</v>
      </c>
      <c r="G83" s="0" t="s">
        <v>22</v>
      </c>
      <c r="H83" s="0" t="s">
        <v>22</v>
      </c>
      <c r="I83" s="0" t="s">
        <v>848</v>
      </c>
    </row>
    <row customHeight="1" ht="11.25">
      <c r="A84" s="1856" t="s">
        <v>2485</v>
      </c>
      <c r="B84" s="1856" t="s">
        <v>16</v>
      </c>
      <c r="C84" s="0" t="s">
        <v>2780</v>
      </c>
      <c r="D84" s="0" t="s">
        <v>2781</v>
      </c>
      <c r="E84" s="0" t="s">
        <v>2782</v>
      </c>
      <c r="F84" s="0" t="s">
        <v>2492</v>
      </c>
      <c r="G84" s="0" t="s">
        <v>22</v>
      </c>
      <c r="H84" s="0" t="s">
        <v>22</v>
      </c>
      <c r="I84" s="0" t="s">
        <v>848</v>
      </c>
    </row>
    <row customHeight="1" ht="11.25">
      <c r="A85" s="1856" t="s">
        <v>2485</v>
      </c>
      <c r="B85" s="1856" t="s">
        <v>16</v>
      </c>
      <c r="C85" s="0" t="s">
        <v>2783</v>
      </c>
      <c r="D85" s="0" t="s">
        <v>2784</v>
      </c>
      <c r="E85" s="0" t="s">
        <v>2785</v>
      </c>
      <c r="F85" s="0" t="s">
        <v>2786</v>
      </c>
      <c r="G85" s="0" t="s">
        <v>2787</v>
      </c>
      <c r="H85" s="0" t="s">
        <v>22</v>
      </c>
      <c r="I85" s="0" t="s">
        <v>848</v>
      </c>
    </row>
    <row customHeight="1" ht="11.25">
      <c r="A86" s="1856" t="s">
        <v>2485</v>
      </c>
      <c r="B86" s="1856" t="s">
        <v>16</v>
      </c>
      <c r="C86" s="0" t="s">
        <v>2788</v>
      </c>
      <c r="D86" s="0" t="s">
        <v>2789</v>
      </c>
      <c r="E86" s="0" t="s">
        <v>2790</v>
      </c>
      <c r="F86" s="0" t="s">
        <v>2525</v>
      </c>
      <c r="G86" s="0" t="s">
        <v>2791</v>
      </c>
      <c r="H86" s="0" t="s">
        <v>22</v>
      </c>
      <c r="I86" s="0" t="s">
        <v>848</v>
      </c>
    </row>
    <row customHeight="1" ht="11.25">
      <c r="A87" s="1856" t="s">
        <v>2485</v>
      </c>
      <c r="B87" s="1856" t="s">
        <v>16</v>
      </c>
      <c r="C87" s="0" t="s">
        <v>2792</v>
      </c>
      <c r="D87" s="0" t="s">
        <v>2793</v>
      </c>
      <c r="E87" s="0" t="s">
        <v>2794</v>
      </c>
      <c r="F87" s="0" t="s">
        <v>2505</v>
      </c>
      <c r="G87" s="0" t="s">
        <v>22</v>
      </c>
      <c r="H87" s="0" t="s">
        <v>22</v>
      </c>
      <c r="I87" s="0" t="s">
        <v>848</v>
      </c>
    </row>
    <row customHeight="1" ht="11.25">
      <c r="A88" s="1856" t="s">
        <v>2485</v>
      </c>
      <c r="B88" s="1856" t="s">
        <v>16</v>
      </c>
      <c r="C88" s="0" t="s">
        <v>2795</v>
      </c>
      <c r="D88" s="0" t="s">
        <v>2796</v>
      </c>
      <c r="E88" s="0" t="s">
        <v>2797</v>
      </c>
      <c r="F88" s="0" t="s">
        <v>2703</v>
      </c>
      <c r="G88" s="0" t="s">
        <v>2798</v>
      </c>
      <c r="H88" s="0" t="s">
        <v>22</v>
      </c>
      <c r="I88" s="0" t="s">
        <v>848</v>
      </c>
    </row>
    <row customHeight="1" ht="11.25">
      <c r="A89" s="1856" t="s">
        <v>2485</v>
      </c>
      <c r="B89" s="1856" t="s">
        <v>16</v>
      </c>
      <c r="C89" s="0" t="s">
        <v>2799</v>
      </c>
      <c r="D89" s="0" t="s">
        <v>2800</v>
      </c>
      <c r="E89" s="0" t="s">
        <v>2801</v>
      </c>
      <c r="F89" s="0" t="s">
        <v>2558</v>
      </c>
      <c r="G89" s="0" t="s">
        <v>22</v>
      </c>
      <c r="H89" s="0" t="s">
        <v>22</v>
      </c>
      <c r="I89" s="0" t="s">
        <v>848</v>
      </c>
    </row>
    <row customHeight="1" ht="11.25">
      <c r="A90" s="1856" t="s">
        <v>2485</v>
      </c>
      <c r="B90" s="1856" t="s">
        <v>16</v>
      </c>
      <c r="C90" s="0" t="s">
        <v>2802</v>
      </c>
      <c r="D90" s="0" t="s">
        <v>2803</v>
      </c>
      <c r="E90" s="0" t="s">
        <v>2804</v>
      </c>
      <c r="F90" s="0" t="s">
        <v>2537</v>
      </c>
      <c r="G90" s="0" t="s">
        <v>22</v>
      </c>
      <c r="H90" s="0" t="s">
        <v>22</v>
      </c>
      <c r="I90" s="0" t="s">
        <v>848</v>
      </c>
    </row>
    <row customHeight="1" ht="11.25">
      <c r="A91" s="1856" t="s">
        <v>2485</v>
      </c>
      <c r="B91" s="1856" t="s">
        <v>16</v>
      </c>
      <c r="C91" s="0" t="s">
        <v>2805</v>
      </c>
      <c r="D91" s="0" t="s">
        <v>2806</v>
      </c>
      <c r="E91" s="0" t="s">
        <v>2807</v>
      </c>
      <c r="F91" s="0" t="s">
        <v>2682</v>
      </c>
      <c r="G91" s="0" t="s">
        <v>22</v>
      </c>
      <c r="H91" s="0" t="s">
        <v>22</v>
      </c>
      <c r="I91" s="0" t="s">
        <v>848</v>
      </c>
    </row>
    <row customHeight="1" ht="11.25">
      <c r="A92" s="1856" t="s">
        <v>2485</v>
      </c>
      <c r="B92" s="1856" t="s">
        <v>16</v>
      </c>
      <c r="C92" s="0" t="s">
        <v>2808</v>
      </c>
      <c r="D92" s="0" t="s">
        <v>2809</v>
      </c>
      <c r="E92" s="0" t="s">
        <v>2810</v>
      </c>
      <c r="F92" s="0" t="s">
        <v>2492</v>
      </c>
      <c r="G92" s="0" t="s">
        <v>22</v>
      </c>
      <c r="H92" s="0" t="s">
        <v>22</v>
      </c>
      <c r="I92" s="0" t="s">
        <v>848</v>
      </c>
    </row>
    <row customHeight="1" ht="11.25">
      <c r="A93" s="1856" t="s">
        <v>2485</v>
      </c>
      <c r="B93" s="1856" t="s">
        <v>16</v>
      </c>
      <c r="C93" s="0" t="s">
        <v>2811</v>
      </c>
      <c r="D93" s="0" t="s">
        <v>2812</v>
      </c>
      <c r="E93" s="0" t="s">
        <v>2813</v>
      </c>
      <c r="F93" s="0" t="s">
        <v>2492</v>
      </c>
      <c r="G93" s="0" t="s">
        <v>22</v>
      </c>
      <c r="H93" s="0" t="s">
        <v>22</v>
      </c>
      <c r="I93" s="0" t="s">
        <v>848</v>
      </c>
    </row>
    <row customHeight="1" ht="11.25">
      <c r="A94" s="1856" t="s">
        <v>2485</v>
      </c>
      <c r="B94" s="1856" t="s">
        <v>16</v>
      </c>
      <c r="C94" s="0" t="s">
        <v>2814</v>
      </c>
      <c r="D94" s="0" t="s">
        <v>2815</v>
      </c>
      <c r="E94" s="0" t="s">
        <v>2816</v>
      </c>
      <c r="F94" s="0" t="s">
        <v>2682</v>
      </c>
      <c r="G94" s="0" t="s">
        <v>2559</v>
      </c>
      <c r="H94" s="0" t="s">
        <v>22</v>
      </c>
      <c r="I94" s="0" t="s">
        <v>848</v>
      </c>
    </row>
    <row customHeight="1" ht="11.25">
      <c r="A95" s="1856" t="s">
        <v>2485</v>
      </c>
      <c r="B95" s="1856" t="s">
        <v>16</v>
      </c>
      <c r="C95" s="0" t="s">
        <v>2817</v>
      </c>
      <c r="D95" s="0" t="s">
        <v>2818</v>
      </c>
      <c r="E95" s="0" t="s">
        <v>2819</v>
      </c>
      <c r="F95" s="0" t="s">
        <v>2500</v>
      </c>
      <c r="G95" s="0" t="s">
        <v>22</v>
      </c>
      <c r="H95" s="0" t="s">
        <v>22</v>
      </c>
      <c r="I95" s="0" t="s">
        <v>848</v>
      </c>
    </row>
    <row customHeight="1" ht="11.25">
      <c r="A96" s="1856" t="s">
        <v>2485</v>
      </c>
      <c r="B96" s="1856" t="s">
        <v>16</v>
      </c>
      <c r="C96" s="0" t="s">
        <v>2820</v>
      </c>
      <c r="D96" s="0" t="s">
        <v>2821</v>
      </c>
      <c r="E96" s="0" t="s">
        <v>2822</v>
      </c>
      <c r="F96" s="0" t="s">
        <v>2566</v>
      </c>
      <c r="G96" s="0" t="s">
        <v>22</v>
      </c>
      <c r="H96" s="0" t="s">
        <v>22</v>
      </c>
      <c r="I96" s="0" t="s">
        <v>848</v>
      </c>
    </row>
    <row customHeight="1" ht="11.25">
      <c r="A97" s="1856" t="s">
        <v>2485</v>
      </c>
      <c r="B97" s="1856" t="s">
        <v>16</v>
      </c>
      <c r="C97" s="0" t="s">
        <v>2823</v>
      </c>
      <c r="D97" s="0" t="s">
        <v>2824</v>
      </c>
      <c r="E97" s="0" t="s">
        <v>2825</v>
      </c>
      <c r="F97" s="0" t="s">
        <v>2826</v>
      </c>
      <c r="G97" s="0" t="s">
        <v>22</v>
      </c>
      <c r="H97" s="0" t="s">
        <v>2827</v>
      </c>
      <c r="I97" s="0" t="s">
        <v>848</v>
      </c>
    </row>
    <row customHeight="1" ht="11.25">
      <c r="A98" s="1856" t="s">
        <v>2485</v>
      </c>
      <c r="B98" s="1856" t="s">
        <v>16</v>
      </c>
      <c r="C98" s="0" t="s">
        <v>2828</v>
      </c>
      <c r="D98" s="0" t="s">
        <v>2829</v>
      </c>
      <c r="E98" s="0" t="s">
        <v>2830</v>
      </c>
      <c r="F98" s="0" t="s">
        <v>2549</v>
      </c>
      <c r="G98" s="0" t="s">
        <v>22</v>
      </c>
      <c r="H98" s="0" t="s">
        <v>22</v>
      </c>
      <c r="I98" s="0" t="s">
        <v>848</v>
      </c>
    </row>
    <row customHeight="1" ht="11.25">
      <c r="A99" s="1856" t="s">
        <v>2485</v>
      </c>
      <c r="B99" s="1856" t="s">
        <v>16</v>
      </c>
      <c r="C99" s="0" t="s">
        <v>2831</v>
      </c>
      <c r="D99" s="0" t="s">
        <v>2832</v>
      </c>
      <c r="E99" s="0" t="s">
        <v>2833</v>
      </c>
      <c r="F99" s="0" t="s">
        <v>2492</v>
      </c>
      <c r="G99" s="0" t="s">
        <v>22</v>
      </c>
      <c r="H99" s="0" t="s">
        <v>22</v>
      </c>
      <c r="I99" s="0" t="s">
        <v>848</v>
      </c>
    </row>
    <row customHeight="1" ht="11.25">
      <c r="A100" s="1856" t="s">
        <v>2485</v>
      </c>
      <c r="B100" s="1856" t="s">
        <v>16</v>
      </c>
      <c r="C100" s="0" t="s">
        <v>2834</v>
      </c>
      <c r="D100" s="0" t="s">
        <v>2835</v>
      </c>
      <c r="E100" s="0" t="s">
        <v>2836</v>
      </c>
      <c r="F100" s="0" t="s">
        <v>2566</v>
      </c>
      <c r="G100" s="0" t="s">
        <v>2837</v>
      </c>
      <c r="H100" s="0" t="s">
        <v>22</v>
      </c>
      <c r="I100" s="0" t="s">
        <v>848</v>
      </c>
    </row>
    <row customHeight="1" ht="11.25">
      <c r="A101" s="1856" t="s">
        <v>2485</v>
      </c>
      <c r="B101" s="1856" t="s">
        <v>16</v>
      </c>
      <c r="C101" s="0" t="s">
        <v>2838</v>
      </c>
      <c r="D101" s="0" t="s">
        <v>2839</v>
      </c>
      <c r="E101" s="0" t="s">
        <v>2840</v>
      </c>
      <c r="F101" s="0" t="s">
        <v>2841</v>
      </c>
      <c r="G101" s="0" t="s">
        <v>22</v>
      </c>
      <c r="H101" s="0" t="s">
        <v>22</v>
      </c>
      <c r="I101" s="0" t="s">
        <v>848</v>
      </c>
    </row>
    <row customHeight="1" ht="11.25">
      <c r="A102" s="1856" t="s">
        <v>2485</v>
      </c>
      <c r="B102" s="1856" t="s">
        <v>16</v>
      </c>
      <c r="C102" s="0" t="s">
        <v>2842</v>
      </c>
      <c r="D102" s="0" t="s">
        <v>2843</v>
      </c>
      <c r="E102" s="0" t="s">
        <v>2844</v>
      </c>
      <c r="F102" s="0" t="s">
        <v>2488</v>
      </c>
      <c r="G102" s="0" t="s">
        <v>22</v>
      </c>
      <c r="H102" s="0" t="s">
        <v>22</v>
      </c>
      <c r="I102" s="0" t="s">
        <v>848</v>
      </c>
    </row>
    <row customHeight="1" ht="11.25">
      <c r="A103" s="1856" t="s">
        <v>2485</v>
      </c>
      <c r="B103" s="1856" t="s">
        <v>16</v>
      </c>
      <c r="C103" s="0" t="s">
        <v>2845</v>
      </c>
      <c r="D103" s="0" t="s">
        <v>2846</v>
      </c>
      <c r="E103" s="0" t="s">
        <v>2847</v>
      </c>
      <c r="F103" s="0" t="s">
        <v>2510</v>
      </c>
      <c r="G103" s="0" t="s">
        <v>22</v>
      </c>
      <c r="H103" s="0" t="s">
        <v>22</v>
      </c>
      <c r="I103" s="0" t="s">
        <v>848</v>
      </c>
    </row>
    <row customHeight="1" ht="11.25">
      <c r="A104" s="1856" t="s">
        <v>2485</v>
      </c>
      <c r="B104" s="1856" t="s">
        <v>16</v>
      </c>
      <c r="C104" s="0" t="s">
        <v>2848</v>
      </c>
      <c r="D104" s="0" t="s">
        <v>2849</v>
      </c>
      <c r="E104" s="0" t="s">
        <v>2850</v>
      </c>
      <c r="F104" s="0" t="s">
        <v>2492</v>
      </c>
      <c r="G104" s="0" t="s">
        <v>22</v>
      </c>
      <c r="H104" s="0" t="s">
        <v>22</v>
      </c>
      <c r="I104" s="0" t="s">
        <v>848</v>
      </c>
    </row>
    <row customHeight="1" ht="11.25">
      <c r="A105" s="1856" t="s">
        <v>2485</v>
      </c>
      <c r="B105" s="1856" t="s">
        <v>16</v>
      </c>
      <c r="C105" s="0" t="s">
        <v>2851</v>
      </c>
      <c r="D105" s="0" t="s">
        <v>2852</v>
      </c>
      <c r="E105" s="0" t="s">
        <v>2853</v>
      </c>
      <c r="F105" s="0" t="s">
        <v>2854</v>
      </c>
      <c r="G105" s="0" t="s">
        <v>2855</v>
      </c>
      <c r="H105" s="0" t="s">
        <v>22</v>
      </c>
      <c r="I105" s="0" t="s">
        <v>848</v>
      </c>
    </row>
    <row customHeight="1" ht="11.25">
      <c r="A106" s="1856" t="s">
        <v>2485</v>
      </c>
      <c r="B106" s="1856" t="s">
        <v>16</v>
      </c>
      <c r="C106" s="0" t="s">
        <v>2856</v>
      </c>
      <c r="D106" s="0" t="s">
        <v>2857</v>
      </c>
      <c r="E106" s="0" t="s">
        <v>2858</v>
      </c>
      <c r="F106" s="0" t="s">
        <v>2826</v>
      </c>
      <c r="G106" s="0" t="s">
        <v>2859</v>
      </c>
      <c r="H106" s="0" t="s">
        <v>22</v>
      </c>
      <c r="I106" s="0" t="s">
        <v>848</v>
      </c>
    </row>
    <row customHeight="1" ht="11.25">
      <c r="A107" s="1856" t="s">
        <v>2485</v>
      </c>
      <c r="B107" s="1856" t="s">
        <v>16</v>
      </c>
      <c r="C107" s="0" t="s">
        <v>2860</v>
      </c>
      <c r="D107" s="0" t="s">
        <v>2861</v>
      </c>
      <c r="E107" s="0" t="s">
        <v>2862</v>
      </c>
      <c r="F107" s="0" t="s">
        <v>2549</v>
      </c>
      <c r="G107" s="0" t="s">
        <v>2863</v>
      </c>
      <c r="H107" s="0" t="s">
        <v>22</v>
      </c>
      <c r="I107" s="0" t="s">
        <v>848</v>
      </c>
    </row>
    <row customHeight="1" ht="11.25">
      <c r="A108" s="1856" t="s">
        <v>2485</v>
      </c>
      <c r="B108" s="1856" t="s">
        <v>16</v>
      </c>
      <c r="C108" s="0" t="s">
        <v>2864</v>
      </c>
      <c r="D108" s="0" t="s">
        <v>2865</v>
      </c>
      <c r="E108" s="0" t="s">
        <v>2866</v>
      </c>
      <c r="F108" s="0" t="s">
        <v>2867</v>
      </c>
      <c r="G108" s="0" t="s">
        <v>22</v>
      </c>
      <c r="H108" s="0" t="s">
        <v>22</v>
      </c>
      <c r="I108" s="0" t="s">
        <v>848</v>
      </c>
    </row>
    <row customHeight="1" ht="11.25">
      <c r="A109" s="1856" t="s">
        <v>2485</v>
      </c>
      <c r="B109" s="1856" t="s">
        <v>16</v>
      </c>
      <c r="C109" s="0" t="s">
        <v>2868</v>
      </c>
      <c r="D109" s="0" t="s">
        <v>2869</v>
      </c>
      <c r="E109" s="0" t="s">
        <v>2870</v>
      </c>
      <c r="F109" s="0" t="s">
        <v>2488</v>
      </c>
      <c r="G109" s="0" t="s">
        <v>22</v>
      </c>
      <c r="H109" s="0" t="s">
        <v>22</v>
      </c>
      <c r="I109" s="0" t="s">
        <v>848</v>
      </c>
    </row>
    <row customHeight="1" ht="11.25">
      <c r="A110" s="1856" t="s">
        <v>2485</v>
      </c>
      <c r="B110" s="1856" t="s">
        <v>16</v>
      </c>
      <c r="C110" s="0" t="s">
        <v>2871</v>
      </c>
      <c r="D110" s="0" t="s">
        <v>2872</v>
      </c>
      <c r="E110" s="0" t="s">
        <v>2595</v>
      </c>
      <c r="F110" s="0" t="s">
        <v>2873</v>
      </c>
      <c r="G110" s="0" t="s">
        <v>22</v>
      </c>
      <c r="H110" s="0" t="s">
        <v>22</v>
      </c>
      <c r="I110" s="0" t="s">
        <v>848</v>
      </c>
    </row>
    <row customHeight="1" ht="11.25">
      <c r="A111" s="1856" t="s">
        <v>2485</v>
      </c>
      <c r="B111" s="1856" t="s">
        <v>16</v>
      </c>
      <c r="C111" s="0" t="s">
        <v>2874</v>
      </c>
      <c r="D111" s="0" t="s">
        <v>2875</v>
      </c>
      <c r="E111" s="0" t="s">
        <v>2876</v>
      </c>
      <c r="F111" s="0" t="s">
        <v>2703</v>
      </c>
      <c r="G111" s="0" t="s">
        <v>22</v>
      </c>
      <c r="H111" s="0" t="s">
        <v>22</v>
      </c>
      <c r="I111" s="0" t="s">
        <v>848</v>
      </c>
    </row>
    <row customHeight="1" ht="11.25">
      <c r="A112" s="1856" t="s">
        <v>2485</v>
      </c>
      <c r="B112" s="1856" t="s">
        <v>16</v>
      </c>
      <c r="C112" s="0" t="s">
        <v>2877</v>
      </c>
      <c r="D112" s="0" t="s">
        <v>2878</v>
      </c>
      <c r="E112" s="0" t="s">
        <v>2879</v>
      </c>
      <c r="F112" s="0" t="s">
        <v>2682</v>
      </c>
      <c r="G112" s="0" t="s">
        <v>22</v>
      </c>
      <c r="H112" s="0" t="s">
        <v>22</v>
      </c>
      <c r="I112" s="0" t="s">
        <v>848</v>
      </c>
    </row>
    <row customHeight="1" ht="11.25">
      <c r="A113" s="1856" t="s">
        <v>2485</v>
      </c>
      <c r="B113" s="1856" t="s">
        <v>16</v>
      </c>
      <c r="C113" s="0" t="s">
        <v>2880</v>
      </c>
      <c r="D113" s="0" t="s">
        <v>2881</v>
      </c>
      <c r="E113" s="0" t="s">
        <v>2882</v>
      </c>
      <c r="F113" s="0" t="s">
        <v>2883</v>
      </c>
      <c r="G113" s="0" t="s">
        <v>2884</v>
      </c>
      <c r="H113" s="0" t="s">
        <v>22</v>
      </c>
      <c r="I113" s="0" t="s">
        <v>848</v>
      </c>
    </row>
    <row customHeight="1" ht="11.25">
      <c r="A114" s="1856" t="s">
        <v>2485</v>
      </c>
      <c r="B114" s="1856" t="s">
        <v>16</v>
      </c>
      <c r="C114" s="0" t="s">
        <v>2885</v>
      </c>
      <c r="D114" s="0" t="s">
        <v>2886</v>
      </c>
      <c r="E114" s="0" t="s">
        <v>2887</v>
      </c>
      <c r="F114" s="0" t="s">
        <v>2703</v>
      </c>
      <c r="G114" s="0" t="s">
        <v>22</v>
      </c>
      <c r="H114" s="0" t="s">
        <v>22</v>
      </c>
      <c r="I114" s="0" t="s">
        <v>848</v>
      </c>
    </row>
    <row customHeight="1" ht="11.25">
      <c r="A115" s="1856" t="s">
        <v>2485</v>
      </c>
      <c r="B115" s="1856" t="s">
        <v>16</v>
      </c>
      <c r="C115" s="0" t="s">
        <v>2888</v>
      </c>
      <c r="D115" s="0" t="s">
        <v>2889</v>
      </c>
      <c r="E115" s="0" t="s">
        <v>2890</v>
      </c>
      <c r="F115" s="0" t="s">
        <v>2644</v>
      </c>
      <c r="G115" s="0" t="s">
        <v>22</v>
      </c>
      <c r="H115" s="0" t="s">
        <v>22</v>
      </c>
      <c r="I115" s="0" t="s">
        <v>848</v>
      </c>
    </row>
    <row customHeight="1" ht="11.25">
      <c r="A116" s="1856" t="s">
        <v>2485</v>
      </c>
      <c r="B116" s="1856" t="s">
        <v>16</v>
      </c>
      <c r="C116" s="0" t="s">
        <v>2891</v>
      </c>
      <c r="D116" s="0" t="s">
        <v>2892</v>
      </c>
      <c r="E116" s="0" t="s">
        <v>2893</v>
      </c>
      <c r="F116" s="0" t="s">
        <v>2525</v>
      </c>
      <c r="G116" s="0" t="s">
        <v>22</v>
      </c>
      <c r="H116" s="0" t="s">
        <v>22</v>
      </c>
      <c r="I116" s="0" t="s">
        <v>848</v>
      </c>
    </row>
    <row customHeight="1" ht="11.25">
      <c r="A117" s="1856" t="s">
        <v>2485</v>
      </c>
      <c r="B117" s="1856" t="s">
        <v>16</v>
      </c>
      <c r="C117" s="0" t="s">
        <v>2894</v>
      </c>
      <c r="D117" s="0" t="s">
        <v>2895</v>
      </c>
      <c r="E117" s="0" t="s">
        <v>2896</v>
      </c>
      <c r="F117" s="0" t="s">
        <v>2634</v>
      </c>
      <c r="G117" s="0" t="s">
        <v>22</v>
      </c>
      <c r="H117" s="0" t="s">
        <v>22</v>
      </c>
      <c r="I117" s="0" t="s">
        <v>848</v>
      </c>
    </row>
    <row customHeight="1" ht="11.25">
      <c r="A118" s="1856" t="s">
        <v>2485</v>
      </c>
      <c r="B118" s="1856" t="s">
        <v>16</v>
      </c>
      <c r="C118" s="0" t="s">
        <v>2897</v>
      </c>
      <c r="D118" s="0" t="s">
        <v>2898</v>
      </c>
      <c r="E118" s="0" t="s">
        <v>2899</v>
      </c>
      <c r="F118" s="0" t="s">
        <v>2496</v>
      </c>
      <c r="G118" s="0" t="s">
        <v>22</v>
      </c>
      <c r="H118" s="0" t="s">
        <v>22</v>
      </c>
      <c r="I118" s="0" t="s">
        <v>848</v>
      </c>
    </row>
    <row customHeight="1" ht="11.25">
      <c r="A119" s="1856" t="s">
        <v>2485</v>
      </c>
      <c r="B119" s="1856" t="s">
        <v>16</v>
      </c>
      <c r="C119" s="0" t="s">
        <v>2900</v>
      </c>
      <c r="D119" s="0" t="s">
        <v>2901</v>
      </c>
      <c r="E119" s="0" t="s">
        <v>2902</v>
      </c>
      <c r="F119" s="0" t="s">
        <v>2903</v>
      </c>
      <c r="G119" s="0" t="s">
        <v>22</v>
      </c>
      <c r="H119" s="0" t="s">
        <v>22</v>
      </c>
      <c r="I119" s="0" t="s">
        <v>848</v>
      </c>
    </row>
    <row customHeight="1" ht="11.25">
      <c r="A120" s="1856" t="s">
        <v>2485</v>
      </c>
      <c r="B120" s="1856" t="s">
        <v>16</v>
      </c>
      <c r="C120" s="0" t="s">
        <v>2904</v>
      </c>
      <c r="D120" s="0" t="s">
        <v>2905</v>
      </c>
      <c r="E120" s="0" t="s">
        <v>2906</v>
      </c>
      <c r="F120" s="0" t="s">
        <v>2558</v>
      </c>
      <c r="G120" s="0" t="s">
        <v>22</v>
      </c>
      <c r="H120" s="0" t="s">
        <v>22</v>
      </c>
      <c r="I120" s="0" t="s">
        <v>848</v>
      </c>
    </row>
    <row customHeight="1" ht="11.25">
      <c r="A121" s="1856" t="s">
        <v>2485</v>
      </c>
      <c r="B121" s="1856" t="s">
        <v>16</v>
      </c>
      <c r="C121" s="0" t="s">
        <v>2907</v>
      </c>
      <c r="D121" s="0" t="s">
        <v>2908</v>
      </c>
      <c r="E121" s="0" t="s">
        <v>2909</v>
      </c>
      <c r="F121" s="0" t="s">
        <v>2537</v>
      </c>
      <c r="G121" s="0" t="s">
        <v>22</v>
      </c>
      <c r="H121" s="0" t="s">
        <v>22</v>
      </c>
      <c r="I121" s="0" t="s">
        <v>848</v>
      </c>
    </row>
    <row customHeight="1" ht="11.25">
      <c r="A122" s="1856" t="s">
        <v>2485</v>
      </c>
      <c r="B122" s="1856" t="s">
        <v>16</v>
      </c>
      <c r="C122" s="0" t="s">
        <v>2910</v>
      </c>
      <c r="D122" s="0" t="s">
        <v>2911</v>
      </c>
      <c r="E122" s="0" t="s">
        <v>2912</v>
      </c>
      <c r="F122" s="0" t="s">
        <v>2644</v>
      </c>
      <c r="G122" s="0" t="s">
        <v>22</v>
      </c>
      <c r="H122" s="0" t="s">
        <v>22</v>
      </c>
      <c r="I122" s="0" t="s">
        <v>848</v>
      </c>
    </row>
    <row customHeight="1" ht="11.25">
      <c r="A123" s="1856" t="s">
        <v>2485</v>
      </c>
      <c r="B123" s="1856" t="s">
        <v>16</v>
      </c>
      <c r="C123" s="0" t="s">
        <v>2913</v>
      </c>
      <c r="D123" s="0" t="s">
        <v>2914</v>
      </c>
      <c r="E123" s="0" t="s">
        <v>2915</v>
      </c>
      <c r="F123" s="0" t="s">
        <v>2537</v>
      </c>
      <c r="G123" s="0" t="s">
        <v>22</v>
      </c>
      <c r="H123" s="0" t="s">
        <v>22</v>
      </c>
      <c r="I123" s="0" t="s">
        <v>848</v>
      </c>
    </row>
    <row customHeight="1" ht="11.25">
      <c r="A124" s="1856" t="s">
        <v>2485</v>
      </c>
      <c r="B124" s="1856" t="s">
        <v>16</v>
      </c>
      <c r="C124" s="0" t="s">
        <v>2916</v>
      </c>
      <c r="D124" s="0" t="s">
        <v>2917</v>
      </c>
      <c r="E124" s="0" t="s">
        <v>2918</v>
      </c>
      <c r="F124" s="0" t="s">
        <v>2537</v>
      </c>
      <c r="G124" s="0" t="s">
        <v>22</v>
      </c>
      <c r="H124" s="0" t="s">
        <v>22</v>
      </c>
      <c r="I124" s="0" t="s">
        <v>848</v>
      </c>
    </row>
    <row customHeight="1" ht="11.25">
      <c r="A125" s="1856" t="s">
        <v>2485</v>
      </c>
      <c r="B125" s="1856" t="s">
        <v>16</v>
      </c>
      <c r="C125" s="0" t="s">
        <v>2919</v>
      </c>
      <c r="D125" s="0" t="s">
        <v>2920</v>
      </c>
      <c r="E125" s="0" t="s">
        <v>2921</v>
      </c>
      <c r="F125" s="0" t="s">
        <v>2703</v>
      </c>
      <c r="G125" s="0" t="s">
        <v>22</v>
      </c>
      <c r="H125" s="0" t="s">
        <v>22</v>
      </c>
      <c r="I125" s="0" t="s">
        <v>848</v>
      </c>
    </row>
    <row customHeight="1" ht="11.25">
      <c r="A126" s="1856" t="s">
        <v>2485</v>
      </c>
      <c r="B126" s="1856" t="s">
        <v>16</v>
      </c>
      <c r="C126" s="0" t="s">
        <v>2922</v>
      </c>
      <c r="D126" s="0" t="s">
        <v>2923</v>
      </c>
      <c r="E126" s="0" t="s">
        <v>2924</v>
      </c>
      <c r="F126" s="0" t="s">
        <v>2925</v>
      </c>
      <c r="G126" s="0" t="s">
        <v>2926</v>
      </c>
      <c r="H126" s="0" t="s">
        <v>22</v>
      </c>
      <c r="I126" s="0" t="s">
        <v>848</v>
      </c>
    </row>
    <row customHeight="1" ht="11.25">
      <c r="A127" s="1856" t="s">
        <v>2485</v>
      </c>
      <c r="B127" s="1856" t="s">
        <v>16</v>
      </c>
      <c r="C127" s="0" t="s">
        <v>2927</v>
      </c>
      <c r="D127" s="0" t="s">
        <v>2928</v>
      </c>
      <c r="E127" s="0" t="s">
        <v>2929</v>
      </c>
      <c r="F127" s="0" t="s">
        <v>2930</v>
      </c>
      <c r="G127" s="0" t="s">
        <v>22</v>
      </c>
      <c r="H127" s="0" t="s">
        <v>22</v>
      </c>
      <c r="I127" s="0" t="s">
        <v>848</v>
      </c>
    </row>
    <row customHeight="1" ht="11.25">
      <c r="A128" s="1856" t="s">
        <v>2485</v>
      </c>
      <c r="B128" s="1856" t="s">
        <v>16</v>
      </c>
      <c r="C128" s="0" t="s">
        <v>2931</v>
      </c>
      <c r="D128" s="0" t="s">
        <v>2932</v>
      </c>
      <c r="E128" s="0" t="s">
        <v>2933</v>
      </c>
      <c r="F128" s="0" t="s">
        <v>2529</v>
      </c>
      <c r="G128" s="0" t="s">
        <v>22</v>
      </c>
      <c r="H128" s="0" t="s">
        <v>22</v>
      </c>
      <c r="I128" s="0" t="s">
        <v>848</v>
      </c>
    </row>
    <row customHeight="1" ht="11.25">
      <c r="A129" s="1856" t="s">
        <v>2485</v>
      </c>
      <c r="B129" s="1856" t="s">
        <v>16</v>
      </c>
      <c r="C129" s="0" t="s">
        <v>22</v>
      </c>
      <c r="D129" s="0" t="s">
        <v>2486</v>
      </c>
      <c r="E129" s="0" t="s">
        <v>2487</v>
      </c>
      <c r="F129" s="0" t="s">
        <v>2488</v>
      </c>
      <c r="G129" s="0" t="s">
        <v>22</v>
      </c>
      <c r="H129" s="0" t="s">
        <v>22</v>
      </c>
      <c r="I129" s="0" t="s">
        <v>937</v>
      </c>
    </row>
    <row customHeight="1" ht="11.25">
      <c r="A130" s="1856" t="s">
        <v>2485</v>
      </c>
      <c r="B130" s="1856" t="s">
        <v>16</v>
      </c>
      <c r="C130" s="0" t="s">
        <v>2507</v>
      </c>
      <c r="D130" s="0" t="s">
        <v>2508</v>
      </c>
      <c r="E130" s="0" t="s">
        <v>2509</v>
      </c>
      <c r="F130" s="0" t="s">
        <v>2510</v>
      </c>
      <c r="G130" s="0" t="s">
        <v>22</v>
      </c>
      <c r="H130" s="0" t="s">
        <v>22</v>
      </c>
      <c r="I130" s="0" t="s">
        <v>937</v>
      </c>
    </row>
    <row customHeight="1" ht="11.25">
      <c r="A131" s="1856" t="s">
        <v>2485</v>
      </c>
      <c r="B131" s="1856" t="s">
        <v>16</v>
      </c>
      <c r="C131" s="0" t="s">
        <v>13</v>
      </c>
      <c r="D131" s="0" t="s">
        <v>46</v>
      </c>
      <c r="E131" s="0" t="s">
        <v>49</v>
      </c>
      <c r="F131" s="0" t="s">
        <v>51</v>
      </c>
      <c r="G131" s="0" t="s">
        <v>22</v>
      </c>
      <c r="H131" s="0" t="s">
        <v>22</v>
      </c>
      <c r="I131" s="0" t="s">
        <v>937</v>
      </c>
    </row>
    <row customHeight="1" ht="11.25">
      <c r="A132" s="1856" t="s">
        <v>2485</v>
      </c>
      <c r="B132" s="1856" t="s">
        <v>16</v>
      </c>
      <c r="C132" s="0" t="s">
        <v>2516</v>
      </c>
      <c r="D132" s="0" t="s">
        <v>2517</v>
      </c>
      <c r="E132" s="0" t="s">
        <v>49</v>
      </c>
      <c r="F132" s="0" t="s">
        <v>2518</v>
      </c>
      <c r="G132" s="0" t="s">
        <v>22</v>
      </c>
      <c r="H132" s="0" t="s">
        <v>22</v>
      </c>
      <c r="I132" s="0" t="s">
        <v>937</v>
      </c>
    </row>
    <row customHeight="1" ht="11.25">
      <c r="A133" s="1856" t="s">
        <v>2485</v>
      </c>
      <c r="B133" s="1856" t="s">
        <v>16</v>
      </c>
      <c r="C133" s="0" t="s">
        <v>2519</v>
      </c>
      <c r="D133" s="0" t="s">
        <v>2520</v>
      </c>
      <c r="E133" s="0" t="s">
        <v>49</v>
      </c>
      <c r="F133" s="0" t="s">
        <v>2521</v>
      </c>
      <c r="G133" s="0" t="s">
        <v>22</v>
      </c>
      <c r="H133" s="0" t="s">
        <v>22</v>
      </c>
      <c r="I133" s="0" t="s">
        <v>937</v>
      </c>
    </row>
    <row customHeight="1" ht="11.25">
      <c r="A134" s="1856" t="s">
        <v>2485</v>
      </c>
      <c r="B134" s="1856" t="s">
        <v>16</v>
      </c>
      <c r="C134" s="0" t="s">
        <v>2526</v>
      </c>
      <c r="D134" s="0" t="s">
        <v>2527</v>
      </c>
      <c r="E134" s="0" t="s">
        <v>2528</v>
      </c>
      <c r="F134" s="0" t="s">
        <v>2529</v>
      </c>
      <c r="G134" s="0" t="s">
        <v>22</v>
      </c>
      <c r="H134" s="0" t="s">
        <v>22</v>
      </c>
      <c r="I134" s="0" t="s">
        <v>937</v>
      </c>
    </row>
    <row customHeight="1" ht="11.25">
      <c r="A135" s="1856" t="s">
        <v>2485</v>
      </c>
      <c r="B135" s="1856" t="s">
        <v>16</v>
      </c>
      <c r="C135" s="0" t="s">
        <v>2538</v>
      </c>
      <c r="D135" s="0" t="s">
        <v>2539</v>
      </c>
      <c r="E135" s="0" t="s">
        <v>2540</v>
      </c>
      <c r="F135" s="0" t="s">
        <v>2541</v>
      </c>
      <c r="G135" s="0" t="s">
        <v>2542</v>
      </c>
      <c r="H135" s="0" t="s">
        <v>22</v>
      </c>
      <c r="I135" s="0" t="s">
        <v>937</v>
      </c>
    </row>
    <row customHeight="1" ht="11.25">
      <c r="A136" s="1856" t="s">
        <v>2485</v>
      </c>
      <c r="B136" s="1856" t="s">
        <v>16</v>
      </c>
      <c r="C136" s="0" t="s">
        <v>2555</v>
      </c>
      <c r="D136" s="0" t="s">
        <v>2556</v>
      </c>
      <c r="E136" s="0" t="s">
        <v>2557</v>
      </c>
      <c r="F136" s="0" t="s">
        <v>2558</v>
      </c>
      <c r="G136" s="0" t="s">
        <v>2559</v>
      </c>
      <c r="H136" s="0" t="s">
        <v>22</v>
      </c>
      <c r="I136" s="0" t="s">
        <v>937</v>
      </c>
    </row>
    <row customHeight="1" ht="11.25">
      <c r="A137" s="1856" t="s">
        <v>2485</v>
      </c>
      <c r="B137" s="1856" t="s">
        <v>16</v>
      </c>
      <c r="C137" s="0" t="s">
        <v>2560</v>
      </c>
      <c r="D137" s="0" t="s">
        <v>2561</v>
      </c>
      <c r="E137" s="0" t="s">
        <v>2562</v>
      </c>
      <c r="F137" s="0" t="s">
        <v>2525</v>
      </c>
      <c r="G137" s="0" t="s">
        <v>22</v>
      </c>
      <c r="H137" s="0" t="s">
        <v>22</v>
      </c>
      <c r="I137" s="0" t="s">
        <v>937</v>
      </c>
    </row>
    <row customHeight="1" ht="11.25">
      <c r="A138" s="1856" t="s">
        <v>2485</v>
      </c>
      <c r="B138" s="1856" t="s">
        <v>16</v>
      </c>
      <c r="C138" s="0" t="s">
        <v>2567</v>
      </c>
      <c r="D138" s="0" t="s">
        <v>2568</v>
      </c>
      <c r="E138" s="0" t="s">
        <v>2569</v>
      </c>
      <c r="F138" s="0" t="s">
        <v>2537</v>
      </c>
      <c r="G138" s="0" t="s">
        <v>2570</v>
      </c>
      <c r="H138" s="0" t="s">
        <v>22</v>
      </c>
      <c r="I138" s="0" t="s">
        <v>937</v>
      </c>
    </row>
    <row customHeight="1" ht="11.25">
      <c r="A139" s="1856" t="s">
        <v>2485</v>
      </c>
      <c r="B139" s="1856" t="s">
        <v>16</v>
      </c>
      <c r="C139" s="0" t="s">
        <v>2579</v>
      </c>
      <c r="D139" s="0" t="s">
        <v>2580</v>
      </c>
      <c r="E139" s="0" t="s">
        <v>2581</v>
      </c>
      <c r="F139" s="0" t="s">
        <v>2582</v>
      </c>
      <c r="G139" s="0" t="s">
        <v>22</v>
      </c>
      <c r="H139" s="0" t="s">
        <v>22</v>
      </c>
      <c r="I139" s="0" t="s">
        <v>937</v>
      </c>
    </row>
    <row customHeight="1" ht="11.25">
      <c r="A140" s="1856" t="s">
        <v>2485</v>
      </c>
      <c r="B140" s="1856" t="s">
        <v>16</v>
      </c>
      <c r="C140" s="0" t="s">
        <v>2597</v>
      </c>
      <c r="D140" s="0" t="s">
        <v>2598</v>
      </c>
      <c r="E140" s="0" t="s">
        <v>2595</v>
      </c>
      <c r="F140" s="0" t="s">
        <v>2599</v>
      </c>
      <c r="G140" s="0" t="s">
        <v>22</v>
      </c>
      <c r="H140" s="0" t="s">
        <v>22</v>
      </c>
      <c r="I140" s="0" t="s">
        <v>937</v>
      </c>
    </row>
    <row customHeight="1" ht="11.25">
      <c r="A141" s="1856" t="s">
        <v>2485</v>
      </c>
      <c r="B141" s="1856" t="s">
        <v>16</v>
      </c>
      <c r="C141" s="0" t="s">
        <v>2934</v>
      </c>
      <c r="D141" s="0" t="s">
        <v>2646</v>
      </c>
      <c r="E141" s="0" t="s">
        <v>2647</v>
      </c>
      <c r="F141" s="0" t="s">
        <v>2935</v>
      </c>
      <c r="G141" s="0" t="s">
        <v>22</v>
      </c>
      <c r="H141" s="0" t="s">
        <v>22</v>
      </c>
      <c r="I141" s="0" t="s">
        <v>937</v>
      </c>
    </row>
    <row customHeight="1" ht="11.25">
      <c r="A142" s="1856" t="s">
        <v>2485</v>
      </c>
      <c r="B142" s="1856" t="s">
        <v>16</v>
      </c>
      <c r="C142" s="0" t="s">
        <v>2936</v>
      </c>
      <c r="D142" s="0" t="s">
        <v>2646</v>
      </c>
      <c r="E142" s="0" t="s">
        <v>2647</v>
      </c>
      <c r="F142" s="0" t="s">
        <v>2937</v>
      </c>
      <c r="G142" s="0" t="s">
        <v>22</v>
      </c>
      <c r="H142" s="0" t="s">
        <v>22</v>
      </c>
      <c r="I142" s="0" t="s">
        <v>937</v>
      </c>
    </row>
    <row customHeight="1" ht="11.25">
      <c r="A143" s="1856" t="s">
        <v>2485</v>
      </c>
      <c r="B143" s="1856" t="s">
        <v>16</v>
      </c>
      <c r="C143" s="0" t="s">
        <v>2938</v>
      </c>
      <c r="D143" s="0" t="s">
        <v>2646</v>
      </c>
      <c r="E143" s="0" t="s">
        <v>2647</v>
      </c>
      <c r="F143" s="0" t="s">
        <v>2939</v>
      </c>
      <c r="G143" s="0" t="s">
        <v>22</v>
      </c>
      <c r="H143" s="0" t="s">
        <v>22</v>
      </c>
      <c r="I143" s="0" t="s">
        <v>937</v>
      </c>
    </row>
    <row customHeight="1" ht="11.25">
      <c r="A144" s="1856" t="s">
        <v>2485</v>
      </c>
      <c r="B144" s="1856" t="s">
        <v>16</v>
      </c>
      <c r="C144" s="0" t="s">
        <v>2940</v>
      </c>
      <c r="D144" s="0" t="s">
        <v>2646</v>
      </c>
      <c r="E144" s="0" t="s">
        <v>2647</v>
      </c>
      <c r="F144" s="0" t="s">
        <v>2941</v>
      </c>
      <c r="G144" s="0" t="s">
        <v>22</v>
      </c>
      <c r="H144" s="0" t="s">
        <v>22</v>
      </c>
      <c r="I144" s="0" t="s">
        <v>937</v>
      </c>
    </row>
    <row customHeight="1" ht="11.25">
      <c r="A145" s="1856" t="s">
        <v>2485</v>
      </c>
      <c r="B145" s="1856" t="s">
        <v>16</v>
      </c>
      <c r="C145" s="0" t="s">
        <v>2942</v>
      </c>
      <c r="D145" s="0" t="s">
        <v>2646</v>
      </c>
      <c r="E145" s="0" t="s">
        <v>2647</v>
      </c>
      <c r="F145" s="0" t="s">
        <v>2943</v>
      </c>
      <c r="G145" s="0" t="s">
        <v>22</v>
      </c>
      <c r="H145" s="0" t="s">
        <v>22</v>
      </c>
      <c r="I145" s="0" t="s">
        <v>937</v>
      </c>
    </row>
    <row customHeight="1" ht="11.25">
      <c r="A146" s="1856" t="s">
        <v>2485</v>
      </c>
      <c r="B146" s="1856" t="s">
        <v>16</v>
      </c>
      <c r="C146" s="0" t="s">
        <v>2944</v>
      </c>
      <c r="D146" s="0" t="s">
        <v>2646</v>
      </c>
      <c r="E146" s="0" t="s">
        <v>2647</v>
      </c>
      <c r="F146" s="0" t="s">
        <v>2945</v>
      </c>
      <c r="G146" s="0" t="s">
        <v>22</v>
      </c>
      <c r="H146" s="0" t="s">
        <v>22</v>
      </c>
      <c r="I146" s="0" t="s">
        <v>937</v>
      </c>
    </row>
    <row customHeight="1" ht="11.25">
      <c r="A147" s="1856" t="s">
        <v>2485</v>
      </c>
      <c r="B147" s="1856" t="s">
        <v>16</v>
      </c>
      <c r="C147" s="0" t="s">
        <v>2946</v>
      </c>
      <c r="D147" s="0" t="s">
        <v>2646</v>
      </c>
      <c r="E147" s="0" t="s">
        <v>2647</v>
      </c>
      <c r="F147" s="0" t="s">
        <v>2947</v>
      </c>
      <c r="G147" s="0" t="s">
        <v>22</v>
      </c>
      <c r="H147" s="0" t="s">
        <v>22</v>
      </c>
      <c r="I147" s="0" t="s">
        <v>937</v>
      </c>
    </row>
    <row customHeight="1" ht="11.25">
      <c r="A148" s="1856" t="s">
        <v>2485</v>
      </c>
      <c r="B148" s="1856" t="s">
        <v>16</v>
      </c>
      <c r="C148" s="0" t="s">
        <v>2948</v>
      </c>
      <c r="D148" s="0" t="s">
        <v>2646</v>
      </c>
      <c r="E148" s="0" t="s">
        <v>2647</v>
      </c>
      <c r="F148" s="0" t="s">
        <v>2949</v>
      </c>
      <c r="G148" s="0" t="s">
        <v>22</v>
      </c>
      <c r="H148" s="0" t="s">
        <v>22</v>
      </c>
      <c r="I148" s="0" t="s">
        <v>937</v>
      </c>
    </row>
    <row customHeight="1" ht="11.25">
      <c r="A149" s="1856" t="s">
        <v>2485</v>
      </c>
      <c r="B149" s="1856" t="s">
        <v>16</v>
      </c>
      <c r="C149" s="0" t="s">
        <v>2645</v>
      </c>
      <c r="D149" s="0" t="s">
        <v>2646</v>
      </c>
      <c r="E149" s="0" t="s">
        <v>2647</v>
      </c>
      <c r="F149" s="0" t="s">
        <v>2644</v>
      </c>
      <c r="G149" s="0" t="s">
        <v>22</v>
      </c>
      <c r="H149" s="0" t="s">
        <v>22</v>
      </c>
      <c r="I149" s="0" t="s">
        <v>937</v>
      </c>
    </row>
    <row customHeight="1" ht="11.25">
      <c r="A150" s="1856" t="s">
        <v>2485</v>
      </c>
      <c r="B150" s="1856" t="s">
        <v>16</v>
      </c>
      <c r="C150" s="0" t="s">
        <v>2950</v>
      </c>
      <c r="D150" s="0" t="s">
        <v>2951</v>
      </c>
      <c r="E150" s="0" t="s">
        <v>2647</v>
      </c>
      <c r="F150" s="0" t="s">
        <v>2952</v>
      </c>
      <c r="G150" s="0" t="s">
        <v>22</v>
      </c>
      <c r="H150" s="0" t="s">
        <v>22</v>
      </c>
      <c r="I150" s="0" t="s">
        <v>937</v>
      </c>
    </row>
    <row customHeight="1" ht="11.25">
      <c r="A151" s="1856" t="s">
        <v>2485</v>
      </c>
      <c r="B151" s="1856" t="s">
        <v>16</v>
      </c>
      <c r="C151" s="0" t="s">
        <v>2656</v>
      </c>
      <c r="D151" s="0" t="s">
        <v>2657</v>
      </c>
      <c r="E151" s="0" t="s">
        <v>2658</v>
      </c>
      <c r="F151" s="0" t="s">
        <v>2525</v>
      </c>
      <c r="G151" s="0" t="s">
        <v>22</v>
      </c>
      <c r="H151" s="0" t="s">
        <v>22</v>
      </c>
      <c r="I151" s="0" t="s">
        <v>937</v>
      </c>
    </row>
    <row customHeight="1" ht="11.25">
      <c r="A152" s="1856" t="s">
        <v>2485</v>
      </c>
      <c r="B152" s="1856" t="s">
        <v>16</v>
      </c>
      <c r="C152" s="0" t="s">
        <v>2663</v>
      </c>
      <c r="D152" s="0" t="s">
        <v>2664</v>
      </c>
      <c r="E152" s="0" t="s">
        <v>2665</v>
      </c>
      <c r="F152" s="0" t="s">
        <v>2533</v>
      </c>
      <c r="G152" s="0" t="s">
        <v>22</v>
      </c>
      <c r="H152" s="0" t="s">
        <v>22</v>
      </c>
      <c r="I152" s="0" t="s">
        <v>937</v>
      </c>
    </row>
    <row customHeight="1" ht="11.25">
      <c r="A153" s="1856" t="s">
        <v>2485</v>
      </c>
      <c r="B153" s="1856" t="s">
        <v>16</v>
      </c>
      <c r="C153" s="0" t="s">
        <v>2683</v>
      </c>
      <c r="D153" s="0" t="s">
        <v>2684</v>
      </c>
      <c r="E153" s="0" t="s">
        <v>2685</v>
      </c>
      <c r="F153" s="0" t="s">
        <v>2644</v>
      </c>
      <c r="G153" s="0" t="s">
        <v>22</v>
      </c>
      <c r="H153" s="0" t="s">
        <v>2506</v>
      </c>
      <c r="I153" s="0" t="s">
        <v>937</v>
      </c>
    </row>
    <row customHeight="1" ht="11.25">
      <c r="A154" s="1856" t="s">
        <v>2485</v>
      </c>
      <c r="B154" s="1856" t="s">
        <v>16</v>
      </c>
      <c r="C154" s="0" t="s">
        <v>2707</v>
      </c>
      <c r="D154" s="0" t="s">
        <v>2708</v>
      </c>
      <c r="E154" s="0" t="s">
        <v>2595</v>
      </c>
      <c r="F154" s="0" t="s">
        <v>2709</v>
      </c>
      <c r="G154" s="0" t="s">
        <v>22</v>
      </c>
      <c r="H154" s="0" t="s">
        <v>22</v>
      </c>
      <c r="I154" s="0" t="s">
        <v>937</v>
      </c>
    </row>
    <row customHeight="1" ht="11.25">
      <c r="A155" s="1856" t="s">
        <v>2485</v>
      </c>
      <c r="B155" s="1856" t="s">
        <v>16</v>
      </c>
      <c r="C155" s="0" t="s">
        <v>2756</v>
      </c>
      <c r="D155" s="0" t="s">
        <v>2757</v>
      </c>
      <c r="E155" s="0" t="s">
        <v>2758</v>
      </c>
      <c r="F155" s="0" t="s">
        <v>2759</v>
      </c>
      <c r="G155" s="0" t="s">
        <v>2760</v>
      </c>
      <c r="H155" s="0" t="s">
        <v>22</v>
      </c>
      <c r="I155" s="0" t="s">
        <v>937</v>
      </c>
    </row>
    <row customHeight="1" ht="11.25">
      <c r="A156" s="1856" t="s">
        <v>2485</v>
      </c>
      <c r="B156" s="1856" t="s">
        <v>16</v>
      </c>
      <c r="C156" s="0" t="s">
        <v>2767</v>
      </c>
      <c r="D156" s="0" t="s">
        <v>2768</v>
      </c>
      <c r="E156" s="0" t="s">
        <v>2769</v>
      </c>
      <c r="F156" s="0" t="s">
        <v>2505</v>
      </c>
      <c r="G156" s="0" t="s">
        <v>22</v>
      </c>
      <c r="H156" s="0" t="s">
        <v>22</v>
      </c>
      <c r="I156" s="0" t="s">
        <v>937</v>
      </c>
    </row>
    <row customHeight="1" ht="11.25">
      <c r="A157" s="1856" t="s">
        <v>2485</v>
      </c>
      <c r="B157" s="1856" t="s">
        <v>16</v>
      </c>
      <c r="C157" s="0" t="s">
        <v>2817</v>
      </c>
      <c r="D157" s="0" t="s">
        <v>2818</v>
      </c>
      <c r="E157" s="0" t="s">
        <v>2819</v>
      </c>
      <c r="F157" s="0" t="s">
        <v>2500</v>
      </c>
      <c r="G157" s="0" t="s">
        <v>22</v>
      </c>
      <c r="H157" s="0" t="s">
        <v>22</v>
      </c>
      <c r="I157" s="0" t="s">
        <v>937</v>
      </c>
    </row>
    <row customHeight="1" ht="11.25">
      <c r="A158" s="1856" t="s">
        <v>2485</v>
      </c>
      <c r="B158" s="1856" t="s">
        <v>16</v>
      </c>
      <c r="C158" s="0" t="s">
        <v>2868</v>
      </c>
      <c r="D158" s="0" t="s">
        <v>2869</v>
      </c>
      <c r="E158" s="0" t="s">
        <v>2870</v>
      </c>
      <c r="F158" s="0" t="s">
        <v>2488</v>
      </c>
      <c r="G158" s="0" t="s">
        <v>22</v>
      </c>
      <c r="H158" s="0" t="s">
        <v>22</v>
      </c>
      <c r="I158" s="0" t="s">
        <v>937</v>
      </c>
    </row>
    <row customHeight="1" ht="11.25">
      <c r="A159" s="1856" t="s">
        <v>2485</v>
      </c>
      <c r="B159" s="1856" t="s">
        <v>16</v>
      </c>
      <c r="C159" s="0" t="s">
        <v>2874</v>
      </c>
      <c r="D159" s="0" t="s">
        <v>2875</v>
      </c>
      <c r="E159" s="0" t="s">
        <v>2876</v>
      </c>
      <c r="F159" s="0" t="s">
        <v>2703</v>
      </c>
      <c r="G159" s="0" t="s">
        <v>22</v>
      </c>
      <c r="H159" s="0" t="s">
        <v>22</v>
      </c>
      <c r="I159" s="0" t="s">
        <v>937</v>
      </c>
    </row>
    <row customHeight="1" ht="11.25">
      <c r="A160" s="1856" t="s">
        <v>2485</v>
      </c>
      <c r="B160" s="1856" t="s">
        <v>16</v>
      </c>
      <c r="C160" s="0" t="s">
        <v>2880</v>
      </c>
      <c r="D160" s="0" t="s">
        <v>2881</v>
      </c>
      <c r="E160" s="0" t="s">
        <v>2882</v>
      </c>
      <c r="F160" s="0" t="s">
        <v>2883</v>
      </c>
      <c r="G160" s="0" t="s">
        <v>2884</v>
      </c>
      <c r="H160" s="0" t="s">
        <v>22</v>
      </c>
      <c r="I160" s="0" t="s">
        <v>937</v>
      </c>
    </row>
    <row customHeight="1" ht="11.25">
      <c r="A161" s="1856" t="s">
        <v>2485</v>
      </c>
      <c r="B161" s="1856" t="s">
        <v>16</v>
      </c>
      <c r="C161" s="0" t="s">
        <v>2891</v>
      </c>
      <c r="D161" s="0" t="s">
        <v>2892</v>
      </c>
      <c r="E161" s="0" t="s">
        <v>2893</v>
      </c>
      <c r="F161" s="0" t="s">
        <v>2525</v>
      </c>
      <c r="G161" s="0" t="s">
        <v>22</v>
      </c>
      <c r="H161" s="0" t="s">
        <v>22</v>
      </c>
      <c r="I161" s="0" t="s">
        <v>937</v>
      </c>
    </row>
    <row customHeight="1" ht="11.25">
      <c r="A162" s="1856" t="s">
        <v>2485</v>
      </c>
      <c r="B162" s="1856" t="s">
        <v>16</v>
      </c>
      <c r="C162" s="0" t="s">
        <v>2919</v>
      </c>
      <c r="D162" s="0" t="s">
        <v>2920</v>
      </c>
      <c r="E162" s="0" t="s">
        <v>2921</v>
      </c>
      <c r="F162" s="0" t="s">
        <v>2703</v>
      </c>
      <c r="G162" s="0" t="s">
        <v>22</v>
      </c>
      <c r="H162" s="0" t="s">
        <v>22</v>
      </c>
      <c r="I162" s="0" t="s">
        <v>937</v>
      </c>
    </row>
    <row customHeight="1" ht="11.25">
      <c r="A163" s="1856" t="s">
        <v>2485</v>
      </c>
      <c r="B163" s="1856" t="s">
        <v>16</v>
      </c>
      <c r="C163" s="0" t="s">
        <v>22</v>
      </c>
      <c r="D163" s="0" t="s">
        <v>2486</v>
      </c>
      <c r="E163" s="0" t="s">
        <v>2487</v>
      </c>
      <c r="F163" s="0" t="s">
        <v>2488</v>
      </c>
      <c r="G163" s="0" t="s">
        <v>22</v>
      </c>
      <c r="H163" s="0" t="s">
        <v>22</v>
      </c>
      <c r="I163" s="0" t="s">
        <v>897</v>
      </c>
    </row>
    <row customHeight="1" ht="11.25">
      <c r="A164" s="1856" t="s">
        <v>2485</v>
      </c>
      <c r="B164" s="1856" t="s">
        <v>16</v>
      </c>
      <c r="C164" s="0" t="s">
        <v>2489</v>
      </c>
      <c r="D164" s="0" t="s">
        <v>2490</v>
      </c>
      <c r="E164" s="0" t="s">
        <v>2491</v>
      </c>
      <c r="F164" s="0" t="s">
        <v>2492</v>
      </c>
      <c r="G164" s="0" t="s">
        <v>22</v>
      </c>
      <c r="H164" s="0" t="s">
        <v>22</v>
      </c>
      <c r="I164" s="0" t="s">
        <v>897</v>
      </c>
    </row>
    <row customHeight="1" ht="11.25">
      <c r="A165" s="1856" t="s">
        <v>2485</v>
      </c>
      <c r="B165" s="1856" t="s">
        <v>16</v>
      </c>
      <c r="C165" s="0" t="s">
        <v>2507</v>
      </c>
      <c r="D165" s="0" t="s">
        <v>2508</v>
      </c>
      <c r="E165" s="0" t="s">
        <v>2509</v>
      </c>
      <c r="F165" s="0" t="s">
        <v>2510</v>
      </c>
      <c r="G165" s="0" t="s">
        <v>22</v>
      </c>
      <c r="H165" s="0" t="s">
        <v>22</v>
      </c>
      <c r="I165" s="0" t="s">
        <v>897</v>
      </c>
    </row>
    <row customHeight="1" ht="11.25">
      <c r="A166" s="1856" t="s">
        <v>2485</v>
      </c>
      <c r="B166" s="1856" t="s">
        <v>16</v>
      </c>
      <c r="C166" s="0" t="s">
        <v>13</v>
      </c>
      <c r="D166" s="0" t="s">
        <v>46</v>
      </c>
      <c r="E166" s="0" t="s">
        <v>49</v>
      </c>
      <c r="F166" s="0" t="s">
        <v>51</v>
      </c>
      <c r="G166" s="0" t="s">
        <v>22</v>
      </c>
      <c r="H166" s="0" t="s">
        <v>22</v>
      </c>
      <c r="I166" s="0" t="s">
        <v>897</v>
      </c>
    </row>
    <row customHeight="1" ht="11.25">
      <c r="A167" s="1856" t="s">
        <v>2485</v>
      </c>
      <c r="B167" s="1856" t="s">
        <v>16</v>
      </c>
      <c r="C167" s="0" t="s">
        <v>2514</v>
      </c>
      <c r="D167" s="0" t="s">
        <v>46</v>
      </c>
      <c r="E167" s="0" t="s">
        <v>49</v>
      </c>
      <c r="F167" s="0" t="s">
        <v>2515</v>
      </c>
      <c r="G167" s="0" t="s">
        <v>2513</v>
      </c>
      <c r="H167" s="0" t="s">
        <v>22</v>
      </c>
      <c r="I167" s="0" t="s">
        <v>897</v>
      </c>
    </row>
    <row customHeight="1" ht="11.25">
      <c r="A168" s="1856" t="s">
        <v>2485</v>
      </c>
      <c r="B168" s="1856" t="s">
        <v>16</v>
      </c>
      <c r="C168" s="0" t="s">
        <v>2519</v>
      </c>
      <c r="D168" s="0" t="s">
        <v>2520</v>
      </c>
      <c r="E168" s="0" t="s">
        <v>49</v>
      </c>
      <c r="F168" s="0" t="s">
        <v>2521</v>
      </c>
      <c r="G168" s="0" t="s">
        <v>22</v>
      </c>
      <c r="H168" s="0" t="s">
        <v>22</v>
      </c>
      <c r="I168" s="0" t="s">
        <v>897</v>
      </c>
    </row>
    <row customHeight="1" ht="11.25">
      <c r="A169" s="1856" t="s">
        <v>2485</v>
      </c>
      <c r="B169" s="1856" t="s">
        <v>16</v>
      </c>
      <c r="C169" s="0" t="s">
        <v>2522</v>
      </c>
      <c r="D169" s="0" t="s">
        <v>2523</v>
      </c>
      <c r="E169" s="0" t="s">
        <v>2524</v>
      </c>
      <c r="F169" s="0" t="s">
        <v>2525</v>
      </c>
      <c r="G169" s="0" t="s">
        <v>22</v>
      </c>
      <c r="H169" s="0" t="s">
        <v>22</v>
      </c>
      <c r="I169" s="0" t="s">
        <v>897</v>
      </c>
    </row>
    <row customHeight="1" ht="11.25">
      <c r="A170" s="1856" t="s">
        <v>2485</v>
      </c>
      <c r="B170" s="1856" t="s">
        <v>16</v>
      </c>
      <c r="C170" s="0" t="s">
        <v>2534</v>
      </c>
      <c r="D170" s="0" t="s">
        <v>2535</v>
      </c>
      <c r="E170" s="0" t="s">
        <v>2536</v>
      </c>
      <c r="F170" s="0" t="s">
        <v>2537</v>
      </c>
      <c r="G170" s="0" t="s">
        <v>22</v>
      </c>
      <c r="H170" s="0" t="s">
        <v>22</v>
      </c>
      <c r="I170" s="0" t="s">
        <v>897</v>
      </c>
    </row>
    <row customHeight="1" ht="11.25">
      <c r="A171" s="1856" t="s">
        <v>2485</v>
      </c>
      <c r="B171" s="1856" t="s">
        <v>16</v>
      </c>
      <c r="C171" s="0" t="s">
        <v>2953</v>
      </c>
      <c r="D171" s="0" t="s">
        <v>2954</v>
      </c>
      <c r="E171" s="0" t="s">
        <v>2955</v>
      </c>
      <c r="F171" s="0" t="s">
        <v>2742</v>
      </c>
      <c r="G171" s="0" t="s">
        <v>2956</v>
      </c>
      <c r="H171" s="0" t="s">
        <v>22</v>
      </c>
      <c r="I171" s="0" t="s">
        <v>897</v>
      </c>
    </row>
    <row customHeight="1" ht="11.25">
      <c r="A172" s="1856" t="s">
        <v>2485</v>
      </c>
      <c r="B172" s="1856" t="s">
        <v>16</v>
      </c>
      <c r="C172" s="0" t="s">
        <v>2543</v>
      </c>
      <c r="D172" s="0" t="s">
        <v>2544</v>
      </c>
      <c r="E172" s="0" t="s">
        <v>2545</v>
      </c>
      <c r="F172" s="0" t="s">
        <v>2496</v>
      </c>
      <c r="G172" s="0" t="s">
        <v>22</v>
      </c>
      <c r="H172" s="0" t="s">
        <v>22</v>
      </c>
      <c r="I172" s="0" t="s">
        <v>897</v>
      </c>
    </row>
    <row customHeight="1" ht="11.25">
      <c r="A173" s="1856" t="s">
        <v>2485</v>
      </c>
      <c r="B173" s="1856" t="s">
        <v>16</v>
      </c>
      <c r="C173" s="0" t="s">
        <v>2957</v>
      </c>
      <c r="D173" s="0" t="s">
        <v>2958</v>
      </c>
      <c r="E173" s="0" t="s">
        <v>2959</v>
      </c>
      <c r="F173" s="0" t="s">
        <v>2525</v>
      </c>
      <c r="G173" s="0" t="s">
        <v>2960</v>
      </c>
      <c r="H173" s="0" t="s">
        <v>22</v>
      </c>
      <c r="I173" s="0" t="s">
        <v>897</v>
      </c>
    </row>
    <row customHeight="1" ht="11.25">
      <c r="A174" s="1856" t="s">
        <v>2485</v>
      </c>
      <c r="B174" s="1856" t="s">
        <v>16</v>
      </c>
      <c r="C174" s="0" t="s">
        <v>2555</v>
      </c>
      <c r="D174" s="0" t="s">
        <v>2556</v>
      </c>
      <c r="E174" s="0" t="s">
        <v>2557</v>
      </c>
      <c r="F174" s="0" t="s">
        <v>2558</v>
      </c>
      <c r="G174" s="0" t="s">
        <v>2559</v>
      </c>
      <c r="H174" s="0" t="s">
        <v>22</v>
      </c>
      <c r="I174" s="0" t="s">
        <v>897</v>
      </c>
    </row>
    <row customHeight="1" ht="11.25">
      <c r="A175" s="1856" t="s">
        <v>2485</v>
      </c>
      <c r="B175" s="1856" t="s">
        <v>16</v>
      </c>
      <c r="C175" s="0" t="s">
        <v>2961</v>
      </c>
      <c r="D175" s="0" t="s">
        <v>2962</v>
      </c>
      <c r="E175" s="0" t="s">
        <v>2963</v>
      </c>
      <c r="F175" s="0" t="s">
        <v>2496</v>
      </c>
      <c r="G175" s="0" t="s">
        <v>22</v>
      </c>
      <c r="H175" s="0" t="s">
        <v>22</v>
      </c>
      <c r="I175" s="0" t="s">
        <v>897</v>
      </c>
    </row>
    <row customHeight="1" ht="11.25">
      <c r="A176" s="1856" t="s">
        <v>2485</v>
      </c>
      <c r="B176" s="1856" t="s">
        <v>16</v>
      </c>
      <c r="C176" s="0" t="s">
        <v>2563</v>
      </c>
      <c r="D176" s="0" t="s">
        <v>2564</v>
      </c>
      <c r="E176" s="0" t="s">
        <v>2565</v>
      </c>
      <c r="F176" s="0" t="s">
        <v>2566</v>
      </c>
      <c r="G176" s="0" t="s">
        <v>22</v>
      </c>
      <c r="H176" s="0" t="s">
        <v>22</v>
      </c>
      <c r="I176" s="0" t="s">
        <v>897</v>
      </c>
    </row>
    <row customHeight="1" ht="11.25">
      <c r="A177" s="1856" t="s">
        <v>2485</v>
      </c>
      <c r="B177" s="1856" t="s">
        <v>16</v>
      </c>
      <c r="C177" s="0" t="s">
        <v>2964</v>
      </c>
      <c r="D177" s="0" t="s">
        <v>2965</v>
      </c>
      <c r="E177" s="0" t="s">
        <v>2966</v>
      </c>
      <c r="F177" s="0" t="s">
        <v>2930</v>
      </c>
      <c r="G177" s="0" t="s">
        <v>2967</v>
      </c>
      <c r="H177" s="0" t="s">
        <v>22</v>
      </c>
      <c r="I177" s="0" t="s">
        <v>897</v>
      </c>
    </row>
    <row customHeight="1" ht="11.25">
      <c r="A178" s="1856" t="s">
        <v>2485</v>
      </c>
      <c r="B178" s="1856" t="s">
        <v>16</v>
      </c>
      <c r="C178" s="0" t="s">
        <v>2575</v>
      </c>
      <c r="D178" s="0" t="s">
        <v>2576</v>
      </c>
      <c r="E178" s="0" t="s">
        <v>2577</v>
      </c>
      <c r="F178" s="0" t="s">
        <v>2488</v>
      </c>
      <c r="G178" s="0" t="s">
        <v>2578</v>
      </c>
      <c r="H178" s="0" t="s">
        <v>22</v>
      </c>
      <c r="I178" s="0" t="s">
        <v>897</v>
      </c>
    </row>
    <row customHeight="1" ht="11.25">
      <c r="A179" s="1856" t="s">
        <v>2485</v>
      </c>
      <c r="B179" s="1856" t="s">
        <v>16</v>
      </c>
      <c r="C179" s="0" t="s">
        <v>2968</v>
      </c>
      <c r="D179" s="0" t="s">
        <v>2969</v>
      </c>
      <c r="E179" s="0" t="s">
        <v>2970</v>
      </c>
      <c r="F179" s="0" t="s">
        <v>2971</v>
      </c>
      <c r="G179" s="0" t="s">
        <v>22</v>
      </c>
      <c r="H179" s="0" t="s">
        <v>22</v>
      </c>
      <c r="I179" s="0" t="s">
        <v>897</v>
      </c>
    </row>
    <row customHeight="1" ht="11.25">
      <c r="A180" s="1856" t="s">
        <v>2485</v>
      </c>
      <c r="B180" s="1856" t="s">
        <v>16</v>
      </c>
      <c r="C180" s="0" t="s">
        <v>2597</v>
      </c>
      <c r="D180" s="0" t="s">
        <v>2598</v>
      </c>
      <c r="E180" s="0" t="s">
        <v>2595</v>
      </c>
      <c r="F180" s="0" t="s">
        <v>2599</v>
      </c>
      <c r="G180" s="0" t="s">
        <v>22</v>
      </c>
      <c r="H180" s="0" t="s">
        <v>22</v>
      </c>
      <c r="I180" s="0" t="s">
        <v>897</v>
      </c>
    </row>
    <row customHeight="1" ht="11.25">
      <c r="A181" s="1856" t="s">
        <v>2485</v>
      </c>
      <c r="B181" s="1856" t="s">
        <v>16</v>
      </c>
      <c r="C181" s="0" t="s">
        <v>2972</v>
      </c>
      <c r="D181" s="0" t="s">
        <v>2973</v>
      </c>
      <c r="E181" s="0" t="s">
        <v>2974</v>
      </c>
      <c r="F181" s="0" t="s">
        <v>2634</v>
      </c>
      <c r="G181" s="0" t="s">
        <v>22</v>
      </c>
      <c r="H181" s="0" t="s">
        <v>2975</v>
      </c>
      <c r="I181" s="0" t="s">
        <v>897</v>
      </c>
    </row>
    <row customHeight="1" ht="11.25">
      <c r="A182" s="1856" t="s">
        <v>2485</v>
      </c>
      <c r="B182" s="1856" t="s">
        <v>16</v>
      </c>
      <c r="C182" s="0" t="s">
        <v>2609</v>
      </c>
      <c r="D182" s="0" t="s">
        <v>2610</v>
      </c>
      <c r="E182" s="0" t="s">
        <v>2611</v>
      </c>
      <c r="F182" s="0" t="s">
        <v>2549</v>
      </c>
      <c r="G182" s="0" t="s">
        <v>22</v>
      </c>
      <c r="H182" s="0" t="s">
        <v>22</v>
      </c>
      <c r="I182" s="0" t="s">
        <v>897</v>
      </c>
    </row>
    <row customHeight="1" ht="11.25">
      <c r="A183" s="1856" t="s">
        <v>2485</v>
      </c>
      <c r="B183" s="1856" t="s">
        <v>16</v>
      </c>
      <c r="C183" s="0" t="s">
        <v>2976</v>
      </c>
      <c r="D183" s="0" t="s">
        <v>2977</v>
      </c>
      <c r="E183" s="0" t="s">
        <v>2978</v>
      </c>
      <c r="F183" s="0" t="s">
        <v>594</v>
      </c>
      <c r="G183" s="0" t="s">
        <v>22</v>
      </c>
      <c r="H183" s="0" t="s">
        <v>22</v>
      </c>
      <c r="I183" s="0" t="s">
        <v>897</v>
      </c>
    </row>
    <row customHeight="1" ht="11.25">
      <c r="A184" s="1856" t="s">
        <v>2485</v>
      </c>
      <c r="B184" s="1856" t="s">
        <v>16</v>
      </c>
      <c r="C184" s="0" t="s">
        <v>2979</v>
      </c>
      <c r="D184" s="0" t="s">
        <v>2980</v>
      </c>
      <c r="E184" s="0" t="s">
        <v>2981</v>
      </c>
      <c r="F184" s="0" t="s">
        <v>594</v>
      </c>
      <c r="G184" s="0" t="s">
        <v>22</v>
      </c>
      <c r="H184" s="0" t="s">
        <v>22</v>
      </c>
      <c r="I184" s="0" t="s">
        <v>897</v>
      </c>
    </row>
    <row customHeight="1" ht="11.25">
      <c r="A185" s="1856" t="s">
        <v>2485</v>
      </c>
      <c r="B185" s="1856" t="s">
        <v>16</v>
      </c>
      <c r="C185" s="0" t="s">
        <v>2982</v>
      </c>
      <c r="D185" s="0" t="s">
        <v>2983</v>
      </c>
      <c r="E185" s="0" t="s">
        <v>2984</v>
      </c>
      <c r="F185" s="0" t="s">
        <v>594</v>
      </c>
      <c r="G185" s="0" t="s">
        <v>22</v>
      </c>
      <c r="H185" s="0" t="s">
        <v>22</v>
      </c>
      <c r="I185" s="0" t="s">
        <v>897</v>
      </c>
    </row>
    <row customHeight="1" ht="11.25">
      <c r="A186" s="1856" t="s">
        <v>2485</v>
      </c>
      <c r="B186" s="1856" t="s">
        <v>16</v>
      </c>
      <c r="C186" s="0" t="s">
        <v>2635</v>
      </c>
      <c r="D186" s="0" t="s">
        <v>2636</v>
      </c>
      <c r="E186" s="0" t="s">
        <v>2637</v>
      </c>
      <c r="F186" s="0" t="s">
        <v>2603</v>
      </c>
      <c r="G186" s="0" t="s">
        <v>22</v>
      </c>
      <c r="H186" s="0" t="s">
        <v>22</v>
      </c>
      <c r="I186" s="0" t="s">
        <v>897</v>
      </c>
    </row>
    <row customHeight="1" ht="11.25">
      <c r="A187" s="1856" t="s">
        <v>2485</v>
      </c>
      <c r="B187" s="1856" t="s">
        <v>16</v>
      </c>
      <c r="C187" s="0" t="s">
        <v>2985</v>
      </c>
      <c r="D187" s="0" t="s">
        <v>2646</v>
      </c>
      <c r="E187" s="0" t="s">
        <v>2647</v>
      </c>
      <c r="F187" s="0" t="s">
        <v>2986</v>
      </c>
      <c r="G187" s="0" t="s">
        <v>22</v>
      </c>
      <c r="H187" s="0" t="s">
        <v>22</v>
      </c>
      <c r="I187" s="0" t="s">
        <v>897</v>
      </c>
    </row>
    <row customHeight="1" ht="11.25">
      <c r="A188" s="1856" t="s">
        <v>2485</v>
      </c>
      <c r="B188" s="1856" t="s">
        <v>16</v>
      </c>
      <c r="C188" s="0" t="s">
        <v>2934</v>
      </c>
      <c r="D188" s="0" t="s">
        <v>2646</v>
      </c>
      <c r="E188" s="0" t="s">
        <v>2647</v>
      </c>
      <c r="F188" s="0" t="s">
        <v>2935</v>
      </c>
      <c r="G188" s="0" t="s">
        <v>22</v>
      </c>
      <c r="H188" s="0" t="s">
        <v>22</v>
      </c>
      <c r="I188" s="0" t="s">
        <v>897</v>
      </c>
    </row>
    <row customHeight="1" ht="11.25">
      <c r="A189" s="1856" t="s">
        <v>2485</v>
      </c>
      <c r="B189" s="1856" t="s">
        <v>16</v>
      </c>
      <c r="C189" s="0" t="s">
        <v>2936</v>
      </c>
      <c r="D189" s="0" t="s">
        <v>2646</v>
      </c>
      <c r="E189" s="0" t="s">
        <v>2647</v>
      </c>
      <c r="F189" s="0" t="s">
        <v>2937</v>
      </c>
      <c r="G189" s="0" t="s">
        <v>22</v>
      </c>
      <c r="H189" s="0" t="s">
        <v>22</v>
      </c>
      <c r="I189" s="0" t="s">
        <v>897</v>
      </c>
    </row>
    <row customHeight="1" ht="11.25">
      <c r="A190" s="1856" t="s">
        <v>2485</v>
      </c>
      <c r="B190" s="1856" t="s">
        <v>16</v>
      </c>
      <c r="C190" s="0" t="s">
        <v>2938</v>
      </c>
      <c r="D190" s="0" t="s">
        <v>2646</v>
      </c>
      <c r="E190" s="0" t="s">
        <v>2647</v>
      </c>
      <c r="F190" s="0" t="s">
        <v>2939</v>
      </c>
      <c r="G190" s="0" t="s">
        <v>22</v>
      </c>
      <c r="H190" s="0" t="s">
        <v>22</v>
      </c>
      <c r="I190" s="0" t="s">
        <v>897</v>
      </c>
    </row>
    <row customHeight="1" ht="11.25">
      <c r="A191" s="1856" t="s">
        <v>2485</v>
      </c>
      <c r="B191" s="1856" t="s">
        <v>16</v>
      </c>
      <c r="C191" s="0" t="s">
        <v>2987</v>
      </c>
      <c r="D191" s="0" t="s">
        <v>2646</v>
      </c>
      <c r="E191" s="0" t="s">
        <v>2647</v>
      </c>
      <c r="F191" s="0" t="s">
        <v>2988</v>
      </c>
      <c r="G191" s="0" t="s">
        <v>22</v>
      </c>
      <c r="H191" s="0" t="s">
        <v>22</v>
      </c>
      <c r="I191" s="0" t="s">
        <v>897</v>
      </c>
    </row>
    <row customHeight="1" ht="11.25">
      <c r="A192" s="1856" t="s">
        <v>2485</v>
      </c>
      <c r="B192" s="1856" t="s">
        <v>16</v>
      </c>
      <c r="C192" s="0" t="s">
        <v>2940</v>
      </c>
      <c r="D192" s="0" t="s">
        <v>2646</v>
      </c>
      <c r="E192" s="0" t="s">
        <v>2647</v>
      </c>
      <c r="F192" s="0" t="s">
        <v>2941</v>
      </c>
      <c r="G192" s="0" t="s">
        <v>22</v>
      </c>
      <c r="H192" s="0" t="s">
        <v>22</v>
      </c>
      <c r="I192" s="0" t="s">
        <v>897</v>
      </c>
    </row>
    <row customHeight="1" ht="11.25">
      <c r="A193" s="1856" t="s">
        <v>2485</v>
      </c>
      <c r="B193" s="1856" t="s">
        <v>16</v>
      </c>
      <c r="C193" s="0" t="s">
        <v>2942</v>
      </c>
      <c r="D193" s="0" t="s">
        <v>2646</v>
      </c>
      <c r="E193" s="0" t="s">
        <v>2647</v>
      </c>
      <c r="F193" s="0" t="s">
        <v>2943</v>
      </c>
      <c r="G193" s="0" t="s">
        <v>22</v>
      </c>
      <c r="H193" s="0" t="s">
        <v>22</v>
      </c>
      <c r="I193" s="0" t="s">
        <v>897</v>
      </c>
    </row>
    <row customHeight="1" ht="11.25">
      <c r="A194" s="1856" t="s">
        <v>2485</v>
      </c>
      <c r="B194" s="1856" t="s">
        <v>16</v>
      </c>
      <c r="C194" s="0" t="s">
        <v>2944</v>
      </c>
      <c r="D194" s="0" t="s">
        <v>2646</v>
      </c>
      <c r="E194" s="0" t="s">
        <v>2647</v>
      </c>
      <c r="F194" s="0" t="s">
        <v>2945</v>
      </c>
      <c r="G194" s="0" t="s">
        <v>22</v>
      </c>
      <c r="H194" s="0" t="s">
        <v>22</v>
      </c>
      <c r="I194" s="0" t="s">
        <v>897</v>
      </c>
    </row>
    <row customHeight="1" ht="11.25">
      <c r="A195" s="1856" t="s">
        <v>2485</v>
      </c>
      <c r="B195" s="1856" t="s">
        <v>16</v>
      </c>
      <c r="C195" s="0" t="s">
        <v>2946</v>
      </c>
      <c r="D195" s="0" t="s">
        <v>2646</v>
      </c>
      <c r="E195" s="0" t="s">
        <v>2647</v>
      </c>
      <c r="F195" s="0" t="s">
        <v>2947</v>
      </c>
      <c r="G195" s="0" t="s">
        <v>22</v>
      </c>
      <c r="H195" s="0" t="s">
        <v>22</v>
      </c>
      <c r="I195" s="0" t="s">
        <v>897</v>
      </c>
    </row>
    <row customHeight="1" ht="11.25">
      <c r="A196" s="1856" t="s">
        <v>2485</v>
      </c>
      <c r="B196" s="1856" t="s">
        <v>16</v>
      </c>
      <c r="C196" s="0" t="s">
        <v>2948</v>
      </c>
      <c r="D196" s="0" t="s">
        <v>2646</v>
      </c>
      <c r="E196" s="0" t="s">
        <v>2647</v>
      </c>
      <c r="F196" s="0" t="s">
        <v>2949</v>
      </c>
      <c r="G196" s="0" t="s">
        <v>22</v>
      </c>
      <c r="H196" s="0" t="s">
        <v>22</v>
      </c>
      <c r="I196" s="0" t="s">
        <v>897</v>
      </c>
    </row>
    <row customHeight="1" ht="11.25">
      <c r="A197" s="1856" t="s">
        <v>2485</v>
      </c>
      <c r="B197" s="1856" t="s">
        <v>16</v>
      </c>
      <c r="C197" s="0" t="s">
        <v>2645</v>
      </c>
      <c r="D197" s="0" t="s">
        <v>2646</v>
      </c>
      <c r="E197" s="0" t="s">
        <v>2647</v>
      </c>
      <c r="F197" s="0" t="s">
        <v>2644</v>
      </c>
      <c r="G197" s="0" t="s">
        <v>22</v>
      </c>
      <c r="H197" s="0" t="s">
        <v>22</v>
      </c>
      <c r="I197" s="0" t="s">
        <v>897</v>
      </c>
    </row>
    <row customHeight="1" ht="11.25">
      <c r="A198" s="1856" t="s">
        <v>2485</v>
      </c>
      <c r="B198" s="1856" t="s">
        <v>16</v>
      </c>
      <c r="C198" s="0" t="s">
        <v>2989</v>
      </c>
      <c r="D198" s="0" t="s">
        <v>2990</v>
      </c>
      <c r="E198" s="0" t="s">
        <v>2991</v>
      </c>
      <c r="F198" s="0" t="s">
        <v>2525</v>
      </c>
      <c r="G198" s="0" t="s">
        <v>22</v>
      </c>
      <c r="H198" s="0" t="s">
        <v>22</v>
      </c>
      <c r="I198" s="0" t="s">
        <v>897</v>
      </c>
    </row>
    <row customHeight="1" ht="11.25">
      <c r="A199" s="1856" t="s">
        <v>2485</v>
      </c>
      <c r="B199" s="1856" t="s">
        <v>16</v>
      </c>
      <c r="C199" s="0" t="s">
        <v>2992</v>
      </c>
      <c r="D199" s="0" t="s">
        <v>2990</v>
      </c>
      <c r="E199" s="0" t="s">
        <v>2991</v>
      </c>
      <c r="F199" s="0" t="s">
        <v>2993</v>
      </c>
      <c r="G199" s="0" t="s">
        <v>22</v>
      </c>
      <c r="H199" s="0" t="s">
        <v>22</v>
      </c>
      <c r="I199" s="0" t="s">
        <v>897</v>
      </c>
    </row>
    <row customHeight="1" ht="11.25">
      <c r="A200" s="1856" t="s">
        <v>2485</v>
      </c>
      <c r="B200" s="1856" t="s">
        <v>16</v>
      </c>
      <c r="C200" s="0" t="s">
        <v>2994</v>
      </c>
      <c r="D200" s="0" t="s">
        <v>2951</v>
      </c>
      <c r="E200" s="0" t="s">
        <v>2647</v>
      </c>
      <c r="F200" s="0" t="s">
        <v>2995</v>
      </c>
      <c r="G200" s="0" t="s">
        <v>22</v>
      </c>
      <c r="H200" s="0" t="s">
        <v>22</v>
      </c>
      <c r="I200" s="0" t="s">
        <v>897</v>
      </c>
    </row>
    <row customHeight="1" ht="11.25">
      <c r="A201" s="1856" t="s">
        <v>2485</v>
      </c>
      <c r="B201" s="1856" t="s">
        <v>16</v>
      </c>
      <c r="C201" s="0" t="s">
        <v>2950</v>
      </c>
      <c r="D201" s="0" t="s">
        <v>2951</v>
      </c>
      <c r="E201" s="0" t="s">
        <v>2647</v>
      </c>
      <c r="F201" s="0" t="s">
        <v>2952</v>
      </c>
      <c r="G201" s="0" t="s">
        <v>22</v>
      </c>
      <c r="H201" s="0" t="s">
        <v>22</v>
      </c>
      <c r="I201" s="0" t="s">
        <v>897</v>
      </c>
    </row>
    <row customHeight="1" ht="11.25">
      <c r="A202" s="1856" t="s">
        <v>2485</v>
      </c>
      <c r="B202" s="1856" t="s">
        <v>16</v>
      </c>
      <c r="C202" s="0" t="s">
        <v>2996</v>
      </c>
      <c r="D202" s="0" t="s">
        <v>2997</v>
      </c>
      <c r="E202" s="0" t="s">
        <v>2998</v>
      </c>
      <c r="F202" s="0" t="s">
        <v>2537</v>
      </c>
      <c r="G202" s="0" t="s">
        <v>22</v>
      </c>
      <c r="H202" s="0" t="s">
        <v>22</v>
      </c>
      <c r="I202" s="0" t="s">
        <v>897</v>
      </c>
    </row>
    <row customHeight="1" ht="11.25">
      <c r="A203" s="1856" t="s">
        <v>2485</v>
      </c>
      <c r="B203" s="1856" t="s">
        <v>16</v>
      </c>
      <c r="C203" s="0" t="s">
        <v>2999</v>
      </c>
      <c r="D203" s="0" t="s">
        <v>3000</v>
      </c>
      <c r="E203" s="0" t="s">
        <v>3001</v>
      </c>
      <c r="F203" s="0" t="s">
        <v>2537</v>
      </c>
      <c r="G203" s="0" t="s">
        <v>3002</v>
      </c>
      <c r="H203" s="0" t="s">
        <v>22</v>
      </c>
      <c r="I203" s="0" t="s">
        <v>897</v>
      </c>
    </row>
    <row customHeight="1" ht="11.25">
      <c r="A204" s="1856" t="s">
        <v>2485</v>
      </c>
      <c r="B204" s="1856" t="s">
        <v>16</v>
      </c>
      <c r="C204" s="0" t="s">
        <v>3003</v>
      </c>
      <c r="D204" s="0" t="s">
        <v>3004</v>
      </c>
      <c r="E204" s="0" t="s">
        <v>3005</v>
      </c>
      <c r="F204" s="0" t="s">
        <v>2728</v>
      </c>
      <c r="G204" s="0" t="s">
        <v>22</v>
      </c>
      <c r="H204" s="0" t="s">
        <v>22</v>
      </c>
      <c r="I204" s="0" t="s">
        <v>897</v>
      </c>
    </row>
    <row customHeight="1" ht="11.25">
      <c r="A205" s="1856" t="s">
        <v>2485</v>
      </c>
      <c r="B205" s="1856" t="s">
        <v>16</v>
      </c>
      <c r="C205" s="0" t="s">
        <v>3006</v>
      </c>
      <c r="D205" s="0" t="s">
        <v>3007</v>
      </c>
      <c r="E205" s="0" t="s">
        <v>3008</v>
      </c>
      <c r="F205" s="0" t="s">
        <v>2841</v>
      </c>
      <c r="G205" s="0" t="s">
        <v>22</v>
      </c>
      <c r="H205" s="0" t="s">
        <v>22</v>
      </c>
      <c r="I205" s="0" t="s">
        <v>897</v>
      </c>
    </row>
    <row customHeight="1" ht="11.25">
      <c r="A206" s="1856" t="s">
        <v>2485</v>
      </c>
      <c r="B206" s="1856" t="s">
        <v>16</v>
      </c>
      <c r="C206" s="0" t="s">
        <v>3009</v>
      </c>
      <c r="D206" s="0" t="s">
        <v>3010</v>
      </c>
      <c r="E206" s="0" t="s">
        <v>3011</v>
      </c>
      <c r="F206" s="0" t="s">
        <v>2558</v>
      </c>
      <c r="G206" s="0" t="s">
        <v>22</v>
      </c>
      <c r="H206" s="0" t="s">
        <v>22</v>
      </c>
      <c r="I206" s="0" t="s">
        <v>897</v>
      </c>
    </row>
    <row customHeight="1" ht="11.25">
      <c r="A207" s="1856" t="s">
        <v>2485</v>
      </c>
      <c r="B207" s="1856" t="s">
        <v>16</v>
      </c>
      <c r="C207" s="0" t="s">
        <v>3012</v>
      </c>
      <c r="D207" s="0" t="s">
        <v>3013</v>
      </c>
      <c r="E207" s="0" t="s">
        <v>3014</v>
      </c>
      <c r="F207" s="0" t="s">
        <v>2655</v>
      </c>
      <c r="G207" s="0" t="s">
        <v>22</v>
      </c>
      <c r="H207" s="0" t="s">
        <v>22</v>
      </c>
      <c r="I207" s="0" t="s">
        <v>897</v>
      </c>
    </row>
    <row customHeight="1" ht="11.25">
      <c r="A208" s="1856" t="s">
        <v>2485</v>
      </c>
      <c r="B208" s="1856" t="s">
        <v>16</v>
      </c>
      <c r="C208" s="0" t="s">
        <v>3015</v>
      </c>
      <c r="D208" s="0" t="s">
        <v>3016</v>
      </c>
      <c r="E208" s="0" t="s">
        <v>3017</v>
      </c>
      <c r="F208" s="0" t="s">
        <v>3018</v>
      </c>
      <c r="G208" s="0" t="s">
        <v>22</v>
      </c>
      <c r="H208" s="0" t="s">
        <v>22</v>
      </c>
      <c r="I208" s="0" t="s">
        <v>897</v>
      </c>
    </row>
    <row customHeight="1" ht="11.25">
      <c r="A209" s="1856" t="s">
        <v>2485</v>
      </c>
      <c r="B209" s="1856" t="s">
        <v>16</v>
      </c>
      <c r="C209" s="0" t="s">
        <v>3019</v>
      </c>
      <c r="D209" s="0" t="s">
        <v>3020</v>
      </c>
      <c r="E209" s="0" t="s">
        <v>3021</v>
      </c>
      <c r="F209" s="0" t="s">
        <v>2558</v>
      </c>
      <c r="G209" s="0" t="s">
        <v>22</v>
      </c>
      <c r="H209" s="0" t="s">
        <v>3022</v>
      </c>
      <c r="I209" s="0" t="s">
        <v>897</v>
      </c>
    </row>
    <row customHeight="1" ht="11.25">
      <c r="A210" s="1856" t="s">
        <v>2485</v>
      </c>
      <c r="B210" s="1856" t="s">
        <v>16</v>
      </c>
      <c r="C210" s="0" t="s">
        <v>2652</v>
      </c>
      <c r="D210" s="0" t="s">
        <v>2653</v>
      </c>
      <c r="E210" s="0" t="s">
        <v>2654</v>
      </c>
      <c r="F210" s="0" t="s">
        <v>2655</v>
      </c>
      <c r="G210" s="0" t="s">
        <v>22</v>
      </c>
      <c r="H210" s="0" t="s">
        <v>22</v>
      </c>
      <c r="I210" s="0" t="s">
        <v>897</v>
      </c>
    </row>
    <row customHeight="1" ht="11.25">
      <c r="A211" s="1856" t="s">
        <v>2485</v>
      </c>
      <c r="B211" s="1856" t="s">
        <v>16</v>
      </c>
      <c r="C211" s="0" t="s">
        <v>3023</v>
      </c>
      <c r="D211" s="0" t="s">
        <v>3024</v>
      </c>
      <c r="E211" s="0" t="s">
        <v>3025</v>
      </c>
      <c r="F211" s="0" t="s">
        <v>2672</v>
      </c>
      <c r="G211" s="0" t="s">
        <v>3026</v>
      </c>
      <c r="H211" s="0" t="s">
        <v>22</v>
      </c>
      <c r="I211" s="0" t="s">
        <v>897</v>
      </c>
    </row>
    <row customHeight="1" ht="11.25">
      <c r="A212" s="1856" t="s">
        <v>2485</v>
      </c>
      <c r="B212" s="1856" t="s">
        <v>16</v>
      </c>
      <c r="C212" s="0" t="s">
        <v>3027</v>
      </c>
      <c r="D212" s="0" t="s">
        <v>3028</v>
      </c>
      <c r="E212" s="0" t="s">
        <v>3029</v>
      </c>
      <c r="F212" s="0" t="s">
        <v>3030</v>
      </c>
      <c r="G212" s="0" t="s">
        <v>22</v>
      </c>
      <c r="H212" s="0" t="s">
        <v>22</v>
      </c>
      <c r="I212" s="0" t="s">
        <v>897</v>
      </c>
    </row>
    <row customHeight="1" ht="11.25">
      <c r="A213" s="1856" t="s">
        <v>2485</v>
      </c>
      <c r="B213" s="1856" t="s">
        <v>16</v>
      </c>
      <c r="C213" s="0" t="s">
        <v>3031</v>
      </c>
      <c r="D213" s="0" t="s">
        <v>3032</v>
      </c>
      <c r="E213" s="0" t="s">
        <v>3033</v>
      </c>
      <c r="F213" s="0" t="s">
        <v>2537</v>
      </c>
      <c r="G213" s="0" t="s">
        <v>3034</v>
      </c>
      <c r="H213" s="0" t="s">
        <v>22</v>
      </c>
      <c r="I213" s="0" t="s">
        <v>897</v>
      </c>
    </row>
    <row customHeight="1" ht="11.25">
      <c r="A214" s="1856" t="s">
        <v>2485</v>
      </c>
      <c r="B214" s="1856" t="s">
        <v>16</v>
      </c>
      <c r="C214" s="0" t="s">
        <v>3035</v>
      </c>
      <c r="D214" s="0" t="s">
        <v>3036</v>
      </c>
      <c r="E214" s="0" t="s">
        <v>3037</v>
      </c>
      <c r="F214" s="0" t="s">
        <v>2537</v>
      </c>
      <c r="G214" s="0" t="s">
        <v>3038</v>
      </c>
      <c r="H214" s="0" t="s">
        <v>22</v>
      </c>
      <c r="I214" s="0" t="s">
        <v>897</v>
      </c>
    </row>
    <row customHeight="1" ht="11.25">
      <c r="A215" s="1856" t="s">
        <v>2485</v>
      </c>
      <c r="B215" s="1856" t="s">
        <v>16</v>
      </c>
      <c r="C215" s="0" t="s">
        <v>2659</v>
      </c>
      <c r="D215" s="0" t="s">
        <v>2660</v>
      </c>
      <c r="E215" s="0" t="s">
        <v>2661</v>
      </c>
      <c r="F215" s="0" t="s">
        <v>2662</v>
      </c>
      <c r="G215" s="0" t="s">
        <v>22</v>
      </c>
      <c r="H215" s="0" t="s">
        <v>22</v>
      </c>
      <c r="I215" s="0" t="s">
        <v>897</v>
      </c>
    </row>
    <row customHeight="1" ht="11.25">
      <c r="A216" s="1856" t="s">
        <v>2485</v>
      </c>
      <c r="B216" s="1856" t="s">
        <v>16</v>
      </c>
      <c r="C216" s="0" t="s">
        <v>2663</v>
      </c>
      <c r="D216" s="0" t="s">
        <v>2664</v>
      </c>
      <c r="E216" s="0" t="s">
        <v>2665</v>
      </c>
      <c r="F216" s="0" t="s">
        <v>2533</v>
      </c>
      <c r="G216" s="0" t="s">
        <v>22</v>
      </c>
      <c r="H216" s="0" t="s">
        <v>22</v>
      </c>
      <c r="I216" s="0" t="s">
        <v>897</v>
      </c>
    </row>
    <row customHeight="1" ht="11.25">
      <c r="A217" s="1856" t="s">
        <v>2485</v>
      </c>
      <c r="B217" s="1856" t="s">
        <v>16</v>
      </c>
      <c r="C217" s="0" t="s">
        <v>2666</v>
      </c>
      <c r="D217" s="0" t="s">
        <v>2667</v>
      </c>
      <c r="E217" s="0" t="s">
        <v>2668</v>
      </c>
      <c r="F217" s="0" t="s">
        <v>2533</v>
      </c>
      <c r="G217" s="0" t="s">
        <v>22</v>
      </c>
      <c r="H217" s="0" t="s">
        <v>22</v>
      </c>
      <c r="I217" s="0" t="s">
        <v>897</v>
      </c>
    </row>
    <row customHeight="1" ht="11.25">
      <c r="A218" s="1856" t="s">
        <v>2485</v>
      </c>
      <c r="B218" s="1856" t="s">
        <v>16</v>
      </c>
      <c r="C218" s="0" t="s">
        <v>2669</v>
      </c>
      <c r="D218" s="0" t="s">
        <v>2670</v>
      </c>
      <c r="E218" s="0" t="s">
        <v>2671</v>
      </c>
      <c r="F218" s="0" t="s">
        <v>2672</v>
      </c>
      <c r="G218" s="0" t="s">
        <v>22</v>
      </c>
      <c r="H218" s="0" t="s">
        <v>22</v>
      </c>
      <c r="I218" s="0" t="s">
        <v>897</v>
      </c>
    </row>
    <row customHeight="1" ht="11.25">
      <c r="A219" s="1856" t="s">
        <v>2485</v>
      </c>
      <c r="B219" s="1856" t="s">
        <v>16</v>
      </c>
      <c r="C219" s="0" t="s">
        <v>3039</v>
      </c>
      <c r="D219" s="0" t="s">
        <v>3040</v>
      </c>
      <c r="E219" s="0" t="s">
        <v>3041</v>
      </c>
      <c r="F219" s="0" t="s">
        <v>2603</v>
      </c>
      <c r="G219" s="0" t="s">
        <v>22</v>
      </c>
      <c r="H219" s="0" t="s">
        <v>22</v>
      </c>
      <c r="I219" s="0" t="s">
        <v>897</v>
      </c>
    </row>
    <row customHeight="1" ht="11.25">
      <c r="A220" s="1856" t="s">
        <v>2485</v>
      </c>
      <c r="B220" s="1856" t="s">
        <v>16</v>
      </c>
      <c r="C220" s="0" t="s">
        <v>3042</v>
      </c>
      <c r="D220" s="0" t="s">
        <v>3043</v>
      </c>
      <c r="E220" s="0" t="s">
        <v>3044</v>
      </c>
      <c r="F220" s="0" t="s">
        <v>2566</v>
      </c>
      <c r="G220" s="0" t="s">
        <v>3045</v>
      </c>
      <c r="H220" s="0" t="s">
        <v>22</v>
      </c>
      <c r="I220" s="0" t="s">
        <v>897</v>
      </c>
    </row>
    <row customHeight="1" ht="11.25">
      <c r="A221" s="1856" t="s">
        <v>2485</v>
      </c>
      <c r="B221" s="1856" t="s">
        <v>16</v>
      </c>
      <c r="C221" s="0" t="s">
        <v>3046</v>
      </c>
      <c r="D221" s="0" t="s">
        <v>3047</v>
      </c>
      <c r="E221" s="0" t="s">
        <v>3048</v>
      </c>
      <c r="F221" s="0" t="s">
        <v>2626</v>
      </c>
      <c r="G221" s="0" t="s">
        <v>3049</v>
      </c>
      <c r="H221" s="0" t="s">
        <v>22</v>
      </c>
      <c r="I221" s="0" t="s">
        <v>897</v>
      </c>
    </row>
    <row customHeight="1" ht="11.25">
      <c r="A222" s="1856" t="s">
        <v>2485</v>
      </c>
      <c r="B222" s="1856" t="s">
        <v>16</v>
      </c>
      <c r="C222" s="0" t="s">
        <v>2673</v>
      </c>
      <c r="D222" s="0" t="s">
        <v>2674</v>
      </c>
      <c r="E222" s="0" t="s">
        <v>2675</v>
      </c>
      <c r="F222" s="0" t="s">
        <v>2537</v>
      </c>
      <c r="G222" s="0" t="s">
        <v>22</v>
      </c>
      <c r="H222" s="0" t="s">
        <v>22</v>
      </c>
      <c r="I222" s="0" t="s">
        <v>897</v>
      </c>
    </row>
    <row customHeight="1" ht="11.25">
      <c r="A223" s="1856" t="s">
        <v>2485</v>
      </c>
      <c r="B223" s="1856" t="s">
        <v>16</v>
      </c>
      <c r="C223" s="0" t="s">
        <v>3050</v>
      </c>
      <c r="D223" s="0" t="s">
        <v>3051</v>
      </c>
      <c r="E223" s="0" t="s">
        <v>3052</v>
      </c>
      <c r="F223" s="0" t="s">
        <v>3018</v>
      </c>
      <c r="G223" s="0" t="s">
        <v>22</v>
      </c>
      <c r="H223" s="0" t="s">
        <v>22</v>
      </c>
      <c r="I223" s="0" t="s">
        <v>897</v>
      </c>
    </row>
    <row customHeight="1" ht="11.25">
      <c r="A224" s="1856" t="s">
        <v>2485</v>
      </c>
      <c r="B224" s="1856" t="s">
        <v>16</v>
      </c>
      <c r="C224" s="0" t="s">
        <v>2676</v>
      </c>
      <c r="D224" s="0" t="s">
        <v>2677</v>
      </c>
      <c r="E224" s="0" t="s">
        <v>2678</v>
      </c>
      <c r="F224" s="0" t="s">
        <v>2662</v>
      </c>
      <c r="G224" s="0" t="s">
        <v>22</v>
      </c>
      <c r="H224" s="0" t="s">
        <v>22</v>
      </c>
      <c r="I224" s="0" t="s">
        <v>897</v>
      </c>
    </row>
    <row customHeight="1" ht="11.25">
      <c r="A225" s="1856" t="s">
        <v>2485</v>
      </c>
      <c r="B225" s="1856" t="s">
        <v>16</v>
      </c>
      <c r="C225" s="0" t="s">
        <v>3053</v>
      </c>
      <c r="D225" s="0" t="s">
        <v>3054</v>
      </c>
      <c r="E225" s="0" t="s">
        <v>3055</v>
      </c>
      <c r="F225" s="0" t="s">
        <v>2566</v>
      </c>
      <c r="G225" s="0" t="s">
        <v>22</v>
      </c>
      <c r="H225" s="0" t="s">
        <v>22</v>
      </c>
      <c r="I225" s="0" t="s">
        <v>897</v>
      </c>
    </row>
    <row customHeight="1" ht="11.25">
      <c r="A226" s="1856" t="s">
        <v>2485</v>
      </c>
      <c r="B226" s="1856" t="s">
        <v>16</v>
      </c>
      <c r="C226" s="0" t="s">
        <v>3056</v>
      </c>
      <c r="D226" s="0" t="s">
        <v>3057</v>
      </c>
      <c r="E226" s="0" t="s">
        <v>3058</v>
      </c>
      <c r="F226" s="0" t="s">
        <v>2930</v>
      </c>
      <c r="G226" s="0" t="s">
        <v>22</v>
      </c>
      <c r="H226" s="0" t="s">
        <v>22</v>
      </c>
      <c r="I226" s="0" t="s">
        <v>897</v>
      </c>
    </row>
    <row customHeight="1" ht="11.25">
      <c r="A227" s="1856" t="s">
        <v>2485</v>
      </c>
      <c r="B227" s="1856" t="s">
        <v>16</v>
      </c>
      <c r="C227" s="0" t="s">
        <v>3059</v>
      </c>
      <c r="D227" s="0" t="s">
        <v>3060</v>
      </c>
      <c r="E227" s="0" t="s">
        <v>3061</v>
      </c>
      <c r="F227" s="0" t="s">
        <v>2492</v>
      </c>
      <c r="G227" s="0" t="s">
        <v>22</v>
      </c>
      <c r="H227" s="0" t="s">
        <v>22</v>
      </c>
      <c r="I227" s="0" t="s">
        <v>897</v>
      </c>
    </row>
    <row customHeight="1" ht="11.25">
      <c r="A228" s="1856" t="s">
        <v>2485</v>
      </c>
      <c r="B228" s="1856" t="s">
        <v>16</v>
      </c>
      <c r="C228" s="0" t="s">
        <v>2679</v>
      </c>
      <c r="D228" s="0" t="s">
        <v>2680</v>
      </c>
      <c r="E228" s="0" t="s">
        <v>2681</v>
      </c>
      <c r="F228" s="0" t="s">
        <v>2682</v>
      </c>
      <c r="G228" s="0" t="s">
        <v>22</v>
      </c>
      <c r="H228" s="0" t="s">
        <v>22</v>
      </c>
      <c r="I228" s="0" t="s">
        <v>897</v>
      </c>
    </row>
    <row customHeight="1" ht="11.25">
      <c r="A229" s="1856" t="s">
        <v>2485</v>
      </c>
      <c r="B229" s="1856" t="s">
        <v>16</v>
      </c>
      <c r="C229" s="0" t="s">
        <v>3062</v>
      </c>
      <c r="D229" s="0" t="s">
        <v>3063</v>
      </c>
      <c r="E229" s="0" t="s">
        <v>3064</v>
      </c>
      <c r="F229" s="0" t="s">
        <v>2930</v>
      </c>
      <c r="G229" s="0" t="s">
        <v>22</v>
      </c>
      <c r="H229" s="0" t="s">
        <v>22</v>
      </c>
      <c r="I229" s="0" t="s">
        <v>897</v>
      </c>
    </row>
    <row customHeight="1" ht="11.25">
      <c r="A230" s="1856" t="s">
        <v>2485</v>
      </c>
      <c r="B230" s="1856" t="s">
        <v>16</v>
      </c>
      <c r="C230" s="0" t="s">
        <v>2683</v>
      </c>
      <c r="D230" s="0" t="s">
        <v>2684</v>
      </c>
      <c r="E230" s="0" t="s">
        <v>2685</v>
      </c>
      <c r="F230" s="0" t="s">
        <v>2644</v>
      </c>
      <c r="G230" s="0" t="s">
        <v>22</v>
      </c>
      <c r="H230" s="0" t="s">
        <v>2506</v>
      </c>
      <c r="I230" s="0" t="s">
        <v>897</v>
      </c>
    </row>
    <row customHeight="1" ht="11.25">
      <c r="A231" s="1856" t="s">
        <v>2485</v>
      </c>
      <c r="B231" s="1856" t="s">
        <v>16</v>
      </c>
      <c r="C231" s="0" t="s">
        <v>2693</v>
      </c>
      <c r="D231" s="0" t="s">
        <v>2694</v>
      </c>
      <c r="E231" s="0" t="s">
        <v>2695</v>
      </c>
      <c r="F231" s="0" t="s">
        <v>2696</v>
      </c>
      <c r="G231" s="0" t="s">
        <v>22</v>
      </c>
      <c r="H231" s="0" t="s">
        <v>22</v>
      </c>
      <c r="I231" s="0" t="s">
        <v>897</v>
      </c>
    </row>
    <row customHeight="1" ht="11.25">
      <c r="A232" s="1856" t="s">
        <v>2485</v>
      </c>
      <c r="B232" s="1856" t="s">
        <v>16</v>
      </c>
      <c r="C232" s="0" t="s">
        <v>3065</v>
      </c>
      <c r="D232" s="0" t="s">
        <v>3066</v>
      </c>
      <c r="E232" s="0" t="s">
        <v>49</v>
      </c>
      <c r="F232" s="0" t="s">
        <v>3067</v>
      </c>
      <c r="G232" s="0" t="s">
        <v>22</v>
      </c>
      <c r="H232" s="0" t="s">
        <v>22</v>
      </c>
      <c r="I232" s="0" t="s">
        <v>897</v>
      </c>
    </row>
    <row customHeight="1" ht="11.25">
      <c r="A233" s="1856" t="s">
        <v>2485</v>
      </c>
      <c r="B233" s="1856" t="s">
        <v>16</v>
      </c>
      <c r="C233" s="0" t="s">
        <v>3068</v>
      </c>
      <c r="D233" s="0" t="s">
        <v>3069</v>
      </c>
      <c r="E233" s="0" t="s">
        <v>3070</v>
      </c>
      <c r="F233" s="0" t="s">
        <v>2492</v>
      </c>
      <c r="G233" s="0" t="s">
        <v>22</v>
      </c>
      <c r="H233" s="0" t="s">
        <v>22</v>
      </c>
      <c r="I233" s="0" t="s">
        <v>897</v>
      </c>
    </row>
    <row customHeight="1" ht="11.25">
      <c r="A234" s="1856" t="s">
        <v>2485</v>
      </c>
      <c r="B234" s="1856" t="s">
        <v>16</v>
      </c>
      <c r="C234" s="0" t="s">
        <v>2710</v>
      </c>
      <c r="D234" s="0" t="s">
        <v>2711</v>
      </c>
      <c r="E234" s="0" t="s">
        <v>2712</v>
      </c>
      <c r="F234" s="0" t="s">
        <v>2533</v>
      </c>
      <c r="G234" s="0" t="s">
        <v>22</v>
      </c>
      <c r="H234" s="0" t="s">
        <v>22</v>
      </c>
      <c r="I234" s="0" t="s">
        <v>897</v>
      </c>
    </row>
    <row customHeight="1" ht="11.25">
      <c r="A235" s="1856" t="s">
        <v>2485</v>
      </c>
      <c r="B235" s="1856" t="s">
        <v>16</v>
      </c>
      <c r="C235" s="0" t="s">
        <v>3071</v>
      </c>
      <c r="D235" s="0" t="s">
        <v>3072</v>
      </c>
      <c r="E235" s="0" t="s">
        <v>3073</v>
      </c>
      <c r="F235" s="0" t="s">
        <v>2549</v>
      </c>
      <c r="G235" s="0" t="s">
        <v>3074</v>
      </c>
      <c r="H235" s="0" t="s">
        <v>22</v>
      </c>
      <c r="I235" s="0" t="s">
        <v>897</v>
      </c>
    </row>
    <row customHeight="1" ht="11.25">
      <c r="A236" s="1856" t="s">
        <v>2485</v>
      </c>
      <c r="B236" s="1856" t="s">
        <v>16</v>
      </c>
      <c r="C236" s="0" t="s">
        <v>3075</v>
      </c>
      <c r="D236" s="0" t="s">
        <v>3076</v>
      </c>
      <c r="E236" s="0" t="s">
        <v>3077</v>
      </c>
      <c r="F236" s="0" t="s">
        <v>2500</v>
      </c>
      <c r="G236" s="0" t="s">
        <v>3078</v>
      </c>
      <c r="H236" s="0" t="s">
        <v>22</v>
      </c>
      <c r="I236" s="0" t="s">
        <v>897</v>
      </c>
    </row>
    <row customHeight="1" ht="11.25">
      <c r="A237" s="1856" t="s">
        <v>2485</v>
      </c>
      <c r="B237" s="1856" t="s">
        <v>16</v>
      </c>
      <c r="C237" s="0" t="s">
        <v>3079</v>
      </c>
      <c r="D237" s="0" t="s">
        <v>3080</v>
      </c>
      <c r="E237" s="0" t="s">
        <v>3081</v>
      </c>
      <c r="F237" s="0" t="s">
        <v>3082</v>
      </c>
      <c r="G237" s="0" t="s">
        <v>22</v>
      </c>
      <c r="H237" s="0" t="s">
        <v>22</v>
      </c>
      <c r="I237" s="0" t="s">
        <v>897</v>
      </c>
    </row>
    <row customHeight="1" ht="11.25">
      <c r="A238" s="1856" t="s">
        <v>2485</v>
      </c>
      <c r="B238" s="1856" t="s">
        <v>16</v>
      </c>
      <c r="C238" s="0" t="s">
        <v>3083</v>
      </c>
      <c r="D238" s="0" t="s">
        <v>3084</v>
      </c>
      <c r="E238" s="0" t="s">
        <v>3085</v>
      </c>
      <c r="F238" s="0" t="s">
        <v>2496</v>
      </c>
      <c r="G238" s="0" t="s">
        <v>3086</v>
      </c>
      <c r="H238" s="0" t="s">
        <v>22</v>
      </c>
      <c r="I238" s="0" t="s">
        <v>897</v>
      </c>
    </row>
    <row customHeight="1" ht="11.25">
      <c r="A239" s="1856" t="s">
        <v>2485</v>
      </c>
      <c r="B239" s="1856" t="s">
        <v>16</v>
      </c>
      <c r="C239" s="0" t="s">
        <v>3087</v>
      </c>
      <c r="D239" s="0" t="s">
        <v>3088</v>
      </c>
      <c r="E239" s="0" t="s">
        <v>3089</v>
      </c>
      <c r="F239" s="0" t="s">
        <v>2525</v>
      </c>
      <c r="G239" s="0" t="s">
        <v>22</v>
      </c>
      <c r="H239" s="0" t="s">
        <v>22</v>
      </c>
      <c r="I239" s="0" t="s">
        <v>897</v>
      </c>
    </row>
    <row customHeight="1" ht="11.25">
      <c r="A240" s="1856" t="s">
        <v>2485</v>
      </c>
      <c r="B240" s="1856" t="s">
        <v>16</v>
      </c>
      <c r="C240" s="0" t="s">
        <v>3090</v>
      </c>
      <c r="D240" s="0" t="s">
        <v>3091</v>
      </c>
      <c r="E240" s="0" t="s">
        <v>3092</v>
      </c>
      <c r="F240" s="0" t="s">
        <v>3093</v>
      </c>
      <c r="G240" s="0" t="s">
        <v>22</v>
      </c>
      <c r="H240" s="0" t="s">
        <v>22</v>
      </c>
      <c r="I240" s="0" t="s">
        <v>897</v>
      </c>
    </row>
    <row customHeight="1" ht="11.25">
      <c r="A241" s="1856" t="s">
        <v>2485</v>
      </c>
      <c r="B241" s="1856" t="s">
        <v>16</v>
      </c>
      <c r="C241" s="0" t="s">
        <v>3094</v>
      </c>
      <c r="D241" s="0" t="s">
        <v>3095</v>
      </c>
      <c r="E241" s="0" t="s">
        <v>3096</v>
      </c>
      <c r="F241" s="0" t="s">
        <v>2903</v>
      </c>
      <c r="G241" s="0" t="s">
        <v>22</v>
      </c>
      <c r="H241" s="0" t="s">
        <v>22</v>
      </c>
      <c r="I241" s="0" t="s">
        <v>897</v>
      </c>
    </row>
    <row customHeight="1" ht="11.25">
      <c r="A242" s="1856" t="s">
        <v>2485</v>
      </c>
      <c r="B242" s="1856" t="s">
        <v>16</v>
      </c>
      <c r="C242" s="0" t="s">
        <v>3097</v>
      </c>
      <c r="D242" s="0" t="s">
        <v>3098</v>
      </c>
      <c r="E242" s="0" t="s">
        <v>3099</v>
      </c>
      <c r="F242" s="0" t="s">
        <v>2930</v>
      </c>
      <c r="G242" s="0" t="s">
        <v>3100</v>
      </c>
      <c r="H242" s="0" t="s">
        <v>22</v>
      </c>
      <c r="I242" s="0" t="s">
        <v>897</v>
      </c>
    </row>
    <row customHeight="1" ht="11.25">
      <c r="A243" s="1856" t="s">
        <v>2485</v>
      </c>
      <c r="B243" s="1856" t="s">
        <v>16</v>
      </c>
      <c r="C243" s="0" t="s">
        <v>2725</v>
      </c>
      <c r="D243" s="0" t="s">
        <v>2726</v>
      </c>
      <c r="E243" s="0" t="s">
        <v>2727</v>
      </c>
      <c r="F243" s="0" t="s">
        <v>2728</v>
      </c>
      <c r="G243" s="0" t="s">
        <v>2729</v>
      </c>
      <c r="H243" s="0" t="s">
        <v>2730</v>
      </c>
      <c r="I243" s="0" t="s">
        <v>897</v>
      </c>
    </row>
    <row customHeight="1" ht="11.25">
      <c r="A244" s="1856" t="s">
        <v>2485</v>
      </c>
      <c r="B244" s="1856" t="s">
        <v>16</v>
      </c>
      <c r="C244" s="0" t="s">
        <v>3101</v>
      </c>
      <c r="D244" s="0" t="s">
        <v>3102</v>
      </c>
      <c r="E244" s="0" t="s">
        <v>3103</v>
      </c>
      <c r="F244" s="0" t="s">
        <v>2537</v>
      </c>
      <c r="G244" s="0" t="s">
        <v>22</v>
      </c>
      <c r="H244" s="0" t="s">
        <v>22</v>
      </c>
      <c r="I244" s="0" t="s">
        <v>897</v>
      </c>
    </row>
    <row customHeight="1" ht="11.25">
      <c r="A245" s="1856" t="s">
        <v>2485</v>
      </c>
      <c r="B245" s="1856" t="s">
        <v>16</v>
      </c>
      <c r="C245" s="0" t="s">
        <v>3104</v>
      </c>
      <c r="D245" s="0" t="s">
        <v>3105</v>
      </c>
      <c r="E245" s="0" t="s">
        <v>3106</v>
      </c>
      <c r="F245" s="0" t="s">
        <v>2728</v>
      </c>
      <c r="G245" s="0" t="s">
        <v>22</v>
      </c>
      <c r="H245" s="0" t="s">
        <v>22</v>
      </c>
      <c r="I245" s="0" t="s">
        <v>897</v>
      </c>
    </row>
    <row customHeight="1" ht="11.25">
      <c r="A246" s="1856" t="s">
        <v>2485</v>
      </c>
      <c r="B246" s="1856" t="s">
        <v>16</v>
      </c>
      <c r="C246" s="0" t="s">
        <v>3107</v>
      </c>
      <c r="D246" s="0" t="s">
        <v>3108</v>
      </c>
      <c r="E246" s="0" t="s">
        <v>3109</v>
      </c>
      <c r="F246" s="0" t="s">
        <v>2537</v>
      </c>
      <c r="G246" s="0" t="s">
        <v>3110</v>
      </c>
      <c r="H246" s="0" t="s">
        <v>22</v>
      </c>
      <c r="I246" s="0" t="s">
        <v>897</v>
      </c>
    </row>
    <row customHeight="1" ht="11.25">
      <c r="A247" s="1856" t="s">
        <v>2485</v>
      </c>
      <c r="B247" s="1856" t="s">
        <v>16</v>
      </c>
      <c r="C247" s="0" t="s">
        <v>3111</v>
      </c>
      <c r="D247" s="0" t="s">
        <v>3112</v>
      </c>
      <c r="E247" s="0" t="s">
        <v>3113</v>
      </c>
      <c r="F247" s="0" t="s">
        <v>2488</v>
      </c>
      <c r="G247" s="0" t="s">
        <v>22</v>
      </c>
      <c r="H247" s="0" t="s">
        <v>22</v>
      </c>
      <c r="I247" s="0" t="s">
        <v>897</v>
      </c>
    </row>
    <row customHeight="1" ht="11.25">
      <c r="A248" s="1856" t="s">
        <v>2485</v>
      </c>
      <c r="B248" s="1856" t="s">
        <v>16</v>
      </c>
      <c r="C248" s="0" t="s">
        <v>2739</v>
      </c>
      <c r="D248" s="0" t="s">
        <v>2740</v>
      </c>
      <c r="E248" s="0" t="s">
        <v>2741</v>
      </c>
      <c r="F248" s="0" t="s">
        <v>2742</v>
      </c>
      <c r="G248" s="0" t="s">
        <v>22</v>
      </c>
      <c r="H248" s="0" t="s">
        <v>22</v>
      </c>
      <c r="I248" s="0" t="s">
        <v>897</v>
      </c>
    </row>
    <row customHeight="1" ht="11.25">
      <c r="A249" s="1856" t="s">
        <v>2485</v>
      </c>
      <c r="B249" s="1856" t="s">
        <v>16</v>
      </c>
      <c r="C249" s="0" t="s">
        <v>3114</v>
      </c>
      <c r="D249" s="0" t="s">
        <v>3115</v>
      </c>
      <c r="E249" s="0" t="s">
        <v>3116</v>
      </c>
      <c r="F249" s="0" t="s">
        <v>2492</v>
      </c>
      <c r="G249" s="0" t="s">
        <v>22</v>
      </c>
      <c r="H249" s="0" t="s">
        <v>22</v>
      </c>
      <c r="I249" s="0" t="s">
        <v>897</v>
      </c>
    </row>
    <row customHeight="1" ht="11.25">
      <c r="A250" s="1856" t="s">
        <v>2485</v>
      </c>
      <c r="B250" s="1856" t="s">
        <v>16</v>
      </c>
      <c r="C250" s="0" t="s">
        <v>2743</v>
      </c>
      <c r="D250" s="0" t="s">
        <v>2744</v>
      </c>
      <c r="E250" s="0" t="s">
        <v>2745</v>
      </c>
      <c r="F250" s="0" t="s">
        <v>2728</v>
      </c>
      <c r="G250" s="0" t="s">
        <v>22</v>
      </c>
      <c r="H250" s="0" t="s">
        <v>22</v>
      </c>
      <c r="I250" s="0" t="s">
        <v>897</v>
      </c>
    </row>
    <row customHeight="1" ht="11.25">
      <c r="A251" s="1856" t="s">
        <v>2485</v>
      </c>
      <c r="B251" s="1856" t="s">
        <v>16</v>
      </c>
      <c r="C251" s="0" t="s">
        <v>2749</v>
      </c>
      <c r="D251" s="0" t="s">
        <v>2750</v>
      </c>
      <c r="E251" s="0" t="s">
        <v>2751</v>
      </c>
      <c r="F251" s="0" t="s">
        <v>2728</v>
      </c>
      <c r="G251" s="0" t="s">
        <v>22</v>
      </c>
      <c r="H251" s="0" t="s">
        <v>22</v>
      </c>
      <c r="I251" s="0" t="s">
        <v>897</v>
      </c>
    </row>
    <row customHeight="1" ht="11.25">
      <c r="A252" s="1856" t="s">
        <v>2485</v>
      </c>
      <c r="B252" s="1856" t="s">
        <v>16</v>
      </c>
      <c r="C252" s="0" t="s">
        <v>3117</v>
      </c>
      <c r="D252" s="0" t="s">
        <v>3118</v>
      </c>
      <c r="E252" s="0" t="s">
        <v>3119</v>
      </c>
      <c r="F252" s="0" t="s">
        <v>2728</v>
      </c>
      <c r="G252" s="0" t="s">
        <v>22</v>
      </c>
      <c r="H252" s="0" t="s">
        <v>22</v>
      </c>
      <c r="I252" s="0" t="s">
        <v>897</v>
      </c>
    </row>
    <row customHeight="1" ht="11.25">
      <c r="A253" s="1856" t="s">
        <v>2485</v>
      </c>
      <c r="B253" s="1856" t="s">
        <v>16</v>
      </c>
      <c r="C253" s="0" t="s">
        <v>3120</v>
      </c>
      <c r="D253" s="0" t="s">
        <v>3121</v>
      </c>
      <c r="E253" s="0" t="s">
        <v>3122</v>
      </c>
      <c r="F253" s="0" t="s">
        <v>2682</v>
      </c>
      <c r="G253" s="0" t="s">
        <v>3123</v>
      </c>
      <c r="H253" s="0" t="s">
        <v>22</v>
      </c>
      <c r="I253" s="0" t="s">
        <v>897</v>
      </c>
    </row>
    <row customHeight="1" ht="11.25">
      <c r="A254" s="1856" t="s">
        <v>2485</v>
      </c>
      <c r="B254" s="1856" t="s">
        <v>16</v>
      </c>
      <c r="C254" s="0" t="s">
        <v>3124</v>
      </c>
      <c r="D254" s="0" t="s">
        <v>3125</v>
      </c>
      <c r="E254" s="0" t="s">
        <v>3126</v>
      </c>
      <c r="F254" s="0" t="s">
        <v>2492</v>
      </c>
      <c r="G254" s="0" t="s">
        <v>3127</v>
      </c>
      <c r="H254" s="0" t="s">
        <v>3128</v>
      </c>
      <c r="I254" s="0" t="s">
        <v>897</v>
      </c>
    </row>
    <row customHeight="1" ht="11.25">
      <c r="A255" s="1856" t="s">
        <v>2485</v>
      </c>
      <c r="B255" s="1856" t="s">
        <v>16</v>
      </c>
      <c r="C255" s="0" t="s">
        <v>3129</v>
      </c>
      <c r="D255" s="0" t="s">
        <v>3130</v>
      </c>
      <c r="E255" s="0" t="s">
        <v>3131</v>
      </c>
      <c r="F255" s="0" t="s">
        <v>2634</v>
      </c>
      <c r="G255" s="0" t="s">
        <v>22</v>
      </c>
      <c r="H255" s="0" t="s">
        <v>22</v>
      </c>
      <c r="I255" s="0" t="s">
        <v>897</v>
      </c>
    </row>
    <row customHeight="1" ht="11.25">
      <c r="A256" s="1856" t="s">
        <v>2485</v>
      </c>
      <c r="B256" s="1856" t="s">
        <v>16</v>
      </c>
      <c r="C256" s="0" t="s">
        <v>3132</v>
      </c>
      <c r="D256" s="0" t="s">
        <v>3133</v>
      </c>
      <c r="E256" s="0" t="s">
        <v>3134</v>
      </c>
      <c r="F256" s="0" t="s">
        <v>2930</v>
      </c>
      <c r="G256" s="0" t="s">
        <v>3135</v>
      </c>
      <c r="H256" s="0" t="s">
        <v>22</v>
      </c>
      <c r="I256" s="0" t="s">
        <v>897</v>
      </c>
    </row>
    <row customHeight="1" ht="11.25">
      <c r="A257" s="1856" t="s">
        <v>2485</v>
      </c>
      <c r="B257" s="1856" t="s">
        <v>16</v>
      </c>
      <c r="C257" s="0" t="s">
        <v>3136</v>
      </c>
      <c r="D257" s="0" t="s">
        <v>3137</v>
      </c>
      <c r="E257" s="0" t="s">
        <v>3138</v>
      </c>
      <c r="F257" s="0" t="s">
        <v>2558</v>
      </c>
      <c r="G257" s="0" t="s">
        <v>3139</v>
      </c>
      <c r="H257" s="0" t="s">
        <v>22</v>
      </c>
      <c r="I257" s="0" t="s">
        <v>897</v>
      </c>
    </row>
    <row customHeight="1" ht="11.25">
      <c r="A258" s="1856" t="s">
        <v>2485</v>
      </c>
      <c r="B258" s="1856" t="s">
        <v>16</v>
      </c>
      <c r="C258" s="0" t="s">
        <v>3140</v>
      </c>
      <c r="D258" s="0" t="s">
        <v>3141</v>
      </c>
      <c r="E258" s="0" t="s">
        <v>3142</v>
      </c>
      <c r="F258" s="0" t="s">
        <v>2500</v>
      </c>
      <c r="G258" s="0" t="s">
        <v>3143</v>
      </c>
      <c r="H258" s="0" t="s">
        <v>22</v>
      </c>
      <c r="I258" s="0" t="s">
        <v>897</v>
      </c>
    </row>
    <row customHeight="1" ht="11.25">
      <c r="A259" s="1856" t="s">
        <v>2485</v>
      </c>
      <c r="B259" s="1856" t="s">
        <v>16</v>
      </c>
      <c r="C259" s="0" t="s">
        <v>2761</v>
      </c>
      <c r="D259" s="0" t="s">
        <v>2762</v>
      </c>
      <c r="E259" s="0" t="s">
        <v>2763</v>
      </c>
      <c r="F259" s="0" t="s">
        <v>2728</v>
      </c>
      <c r="G259" s="0" t="s">
        <v>22</v>
      </c>
      <c r="H259" s="0" t="s">
        <v>22</v>
      </c>
      <c r="I259" s="0" t="s">
        <v>897</v>
      </c>
    </row>
    <row customHeight="1" ht="11.25">
      <c r="A260" s="1856" t="s">
        <v>2485</v>
      </c>
      <c r="B260" s="1856" t="s">
        <v>16</v>
      </c>
      <c r="C260" s="0" t="s">
        <v>3144</v>
      </c>
      <c r="D260" s="0" t="s">
        <v>3145</v>
      </c>
      <c r="E260" s="0" t="s">
        <v>3146</v>
      </c>
      <c r="F260" s="0" t="s">
        <v>2682</v>
      </c>
      <c r="G260" s="0" t="s">
        <v>22</v>
      </c>
      <c r="H260" s="0" t="s">
        <v>22</v>
      </c>
      <c r="I260" s="0" t="s">
        <v>897</v>
      </c>
    </row>
    <row customHeight="1" ht="11.25">
      <c r="A261" s="1856" t="s">
        <v>2485</v>
      </c>
      <c r="B261" s="1856" t="s">
        <v>16</v>
      </c>
      <c r="C261" s="0" t="s">
        <v>3147</v>
      </c>
      <c r="D261" s="0" t="s">
        <v>3148</v>
      </c>
      <c r="E261" s="0" t="s">
        <v>3149</v>
      </c>
      <c r="F261" s="0" t="s">
        <v>2549</v>
      </c>
      <c r="G261" s="0" t="s">
        <v>3150</v>
      </c>
      <c r="H261" s="0" t="s">
        <v>22</v>
      </c>
      <c r="I261" s="0" t="s">
        <v>897</v>
      </c>
    </row>
    <row customHeight="1" ht="11.25">
      <c r="A262" s="1856" t="s">
        <v>2485</v>
      </c>
      <c r="B262" s="1856" t="s">
        <v>16</v>
      </c>
      <c r="C262" s="0" t="s">
        <v>2777</v>
      </c>
      <c r="D262" s="0" t="s">
        <v>2778</v>
      </c>
      <c r="E262" s="0" t="s">
        <v>2779</v>
      </c>
      <c r="F262" s="0" t="s">
        <v>2537</v>
      </c>
      <c r="G262" s="0" t="s">
        <v>22</v>
      </c>
      <c r="H262" s="0" t="s">
        <v>22</v>
      </c>
      <c r="I262" s="0" t="s">
        <v>897</v>
      </c>
    </row>
    <row customHeight="1" ht="11.25">
      <c r="A263" s="1856" t="s">
        <v>2485</v>
      </c>
      <c r="B263" s="1856" t="s">
        <v>16</v>
      </c>
      <c r="C263" s="0" t="s">
        <v>2780</v>
      </c>
      <c r="D263" s="0" t="s">
        <v>2781</v>
      </c>
      <c r="E263" s="0" t="s">
        <v>2782</v>
      </c>
      <c r="F263" s="0" t="s">
        <v>2492</v>
      </c>
      <c r="G263" s="0" t="s">
        <v>22</v>
      </c>
      <c r="H263" s="0" t="s">
        <v>22</v>
      </c>
      <c r="I263" s="0" t="s">
        <v>897</v>
      </c>
    </row>
    <row customHeight="1" ht="11.25">
      <c r="A264" s="1856" t="s">
        <v>2485</v>
      </c>
      <c r="B264" s="1856" t="s">
        <v>16</v>
      </c>
      <c r="C264" s="0" t="s">
        <v>2795</v>
      </c>
      <c r="D264" s="0" t="s">
        <v>2796</v>
      </c>
      <c r="E264" s="0" t="s">
        <v>2797</v>
      </c>
      <c r="F264" s="0" t="s">
        <v>2703</v>
      </c>
      <c r="G264" s="0" t="s">
        <v>2798</v>
      </c>
      <c r="H264" s="0" t="s">
        <v>22</v>
      </c>
      <c r="I264" s="0" t="s">
        <v>897</v>
      </c>
    </row>
    <row customHeight="1" ht="11.25">
      <c r="A265" s="1856" t="s">
        <v>2485</v>
      </c>
      <c r="B265" s="1856" t="s">
        <v>16</v>
      </c>
      <c r="C265" s="0" t="s">
        <v>3151</v>
      </c>
      <c r="D265" s="0" t="s">
        <v>3152</v>
      </c>
      <c r="E265" s="0" t="s">
        <v>3153</v>
      </c>
      <c r="F265" s="0" t="s">
        <v>2689</v>
      </c>
      <c r="G265" s="0" t="s">
        <v>22</v>
      </c>
      <c r="H265" s="0" t="s">
        <v>22</v>
      </c>
      <c r="I265" s="0" t="s">
        <v>897</v>
      </c>
    </row>
    <row customHeight="1" ht="11.25">
      <c r="A266" s="1856" t="s">
        <v>2485</v>
      </c>
      <c r="B266" s="1856" t="s">
        <v>16</v>
      </c>
      <c r="C266" s="0" t="s">
        <v>3154</v>
      </c>
      <c r="D266" s="0" t="s">
        <v>3155</v>
      </c>
      <c r="E266" s="0" t="s">
        <v>3156</v>
      </c>
      <c r="F266" s="0" t="s">
        <v>2634</v>
      </c>
      <c r="G266" s="0" t="s">
        <v>22</v>
      </c>
      <c r="H266" s="0" t="s">
        <v>22</v>
      </c>
      <c r="I266" s="0" t="s">
        <v>897</v>
      </c>
    </row>
    <row customHeight="1" ht="11.25">
      <c r="A267" s="1856" t="s">
        <v>2485</v>
      </c>
      <c r="B267" s="1856" t="s">
        <v>16</v>
      </c>
      <c r="C267" s="0" t="s">
        <v>2811</v>
      </c>
      <c r="D267" s="0" t="s">
        <v>2812</v>
      </c>
      <c r="E267" s="0" t="s">
        <v>2813</v>
      </c>
      <c r="F267" s="0" t="s">
        <v>2492</v>
      </c>
      <c r="G267" s="0" t="s">
        <v>22</v>
      </c>
      <c r="H267" s="0" t="s">
        <v>22</v>
      </c>
      <c r="I267" s="0" t="s">
        <v>897</v>
      </c>
    </row>
    <row customHeight="1" ht="11.25">
      <c r="A268" s="1856" t="s">
        <v>2485</v>
      </c>
      <c r="B268" s="1856" t="s">
        <v>16</v>
      </c>
      <c r="C268" s="0" t="s">
        <v>3157</v>
      </c>
      <c r="D268" s="0" t="s">
        <v>3158</v>
      </c>
      <c r="E268" s="0" t="s">
        <v>3159</v>
      </c>
      <c r="F268" s="0" t="s">
        <v>3160</v>
      </c>
      <c r="G268" s="0" t="s">
        <v>22</v>
      </c>
      <c r="H268" s="0" t="s">
        <v>22</v>
      </c>
      <c r="I268" s="0" t="s">
        <v>897</v>
      </c>
    </row>
    <row customHeight="1" ht="11.25">
      <c r="A269" s="1856" t="s">
        <v>2485</v>
      </c>
      <c r="B269" s="1856" t="s">
        <v>16</v>
      </c>
      <c r="C269" s="0" t="s">
        <v>3161</v>
      </c>
      <c r="D269" s="0" t="s">
        <v>3162</v>
      </c>
      <c r="E269" s="0" t="s">
        <v>3163</v>
      </c>
      <c r="F269" s="0" t="s">
        <v>2703</v>
      </c>
      <c r="G269" s="0" t="s">
        <v>22</v>
      </c>
      <c r="H269" s="0" t="s">
        <v>22</v>
      </c>
      <c r="I269" s="0" t="s">
        <v>897</v>
      </c>
    </row>
    <row customHeight="1" ht="11.25">
      <c r="A270" s="1856" t="s">
        <v>2485</v>
      </c>
      <c r="B270" s="1856" t="s">
        <v>16</v>
      </c>
      <c r="C270" s="0" t="s">
        <v>3164</v>
      </c>
      <c r="D270" s="0" t="s">
        <v>3165</v>
      </c>
      <c r="E270" s="0" t="s">
        <v>3166</v>
      </c>
      <c r="F270" s="0" t="s">
        <v>2525</v>
      </c>
      <c r="G270" s="0" t="s">
        <v>22</v>
      </c>
      <c r="H270" s="0" t="s">
        <v>22</v>
      </c>
      <c r="I270" s="0" t="s">
        <v>897</v>
      </c>
    </row>
    <row customHeight="1" ht="11.25">
      <c r="A271" s="1856" t="s">
        <v>2485</v>
      </c>
      <c r="B271" s="1856" t="s">
        <v>16</v>
      </c>
      <c r="C271" s="0" t="s">
        <v>2814</v>
      </c>
      <c r="D271" s="0" t="s">
        <v>2815</v>
      </c>
      <c r="E271" s="0" t="s">
        <v>2816</v>
      </c>
      <c r="F271" s="0" t="s">
        <v>2682</v>
      </c>
      <c r="G271" s="0" t="s">
        <v>2559</v>
      </c>
      <c r="H271" s="0" t="s">
        <v>22</v>
      </c>
      <c r="I271" s="0" t="s">
        <v>897</v>
      </c>
    </row>
    <row customHeight="1" ht="11.25">
      <c r="A272" s="1856" t="s">
        <v>2485</v>
      </c>
      <c r="B272" s="1856" t="s">
        <v>16</v>
      </c>
      <c r="C272" s="0" t="s">
        <v>3167</v>
      </c>
      <c r="D272" s="0" t="s">
        <v>3168</v>
      </c>
      <c r="E272" s="0" t="s">
        <v>3169</v>
      </c>
      <c r="F272" s="0" t="s">
        <v>2682</v>
      </c>
      <c r="G272" s="0" t="s">
        <v>22</v>
      </c>
      <c r="H272" s="0" t="s">
        <v>22</v>
      </c>
      <c r="I272" s="0" t="s">
        <v>897</v>
      </c>
    </row>
    <row customHeight="1" ht="11.25">
      <c r="A273" s="1856" t="s">
        <v>2485</v>
      </c>
      <c r="B273" s="1856" t="s">
        <v>16</v>
      </c>
      <c r="C273" s="0" t="s">
        <v>2823</v>
      </c>
      <c r="D273" s="0" t="s">
        <v>2824</v>
      </c>
      <c r="E273" s="0" t="s">
        <v>2825</v>
      </c>
      <c r="F273" s="0" t="s">
        <v>2826</v>
      </c>
      <c r="G273" s="0" t="s">
        <v>22</v>
      </c>
      <c r="H273" s="0" t="s">
        <v>2827</v>
      </c>
      <c r="I273" s="0" t="s">
        <v>897</v>
      </c>
    </row>
    <row customHeight="1" ht="11.25">
      <c r="A274" s="1856" t="s">
        <v>2485</v>
      </c>
      <c r="B274" s="1856" t="s">
        <v>16</v>
      </c>
      <c r="C274" s="0" t="s">
        <v>3170</v>
      </c>
      <c r="D274" s="0" t="s">
        <v>3171</v>
      </c>
      <c r="E274" s="0" t="s">
        <v>3172</v>
      </c>
      <c r="F274" s="0" t="s">
        <v>2558</v>
      </c>
      <c r="G274" s="0" t="s">
        <v>22</v>
      </c>
      <c r="H274" s="0" t="s">
        <v>22</v>
      </c>
      <c r="I274" s="0" t="s">
        <v>897</v>
      </c>
    </row>
    <row customHeight="1" ht="11.25">
      <c r="A275" s="1856" t="s">
        <v>2485</v>
      </c>
      <c r="B275" s="1856" t="s">
        <v>16</v>
      </c>
      <c r="C275" s="0" t="s">
        <v>2838</v>
      </c>
      <c r="D275" s="0" t="s">
        <v>2839</v>
      </c>
      <c r="E275" s="0" t="s">
        <v>2840</v>
      </c>
      <c r="F275" s="0" t="s">
        <v>2841</v>
      </c>
      <c r="G275" s="0" t="s">
        <v>22</v>
      </c>
      <c r="H275" s="0" t="s">
        <v>22</v>
      </c>
      <c r="I275" s="0" t="s">
        <v>897</v>
      </c>
    </row>
    <row customHeight="1" ht="11.25">
      <c r="A276" s="1856" t="s">
        <v>2485</v>
      </c>
      <c r="B276" s="1856" t="s">
        <v>16</v>
      </c>
      <c r="C276" s="0" t="s">
        <v>3173</v>
      </c>
      <c r="D276" s="0" t="s">
        <v>3174</v>
      </c>
      <c r="E276" s="0" t="s">
        <v>3175</v>
      </c>
      <c r="F276" s="0" t="s">
        <v>2525</v>
      </c>
      <c r="G276" s="0" t="s">
        <v>22</v>
      </c>
      <c r="H276" s="0" t="s">
        <v>3176</v>
      </c>
      <c r="I276" s="0" t="s">
        <v>897</v>
      </c>
    </row>
    <row customHeight="1" ht="11.25">
      <c r="A277" s="1856" t="s">
        <v>2485</v>
      </c>
      <c r="B277" s="1856" t="s">
        <v>16</v>
      </c>
      <c r="C277" s="0" t="s">
        <v>3177</v>
      </c>
      <c r="D277" s="0" t="s">
        <v>3178</v>
      </c>
      <c r="E277" s="0" t="s">
        <v>3179</v>
      </c>
      <c r="F277" s="0" t="s">
        <v>2728</v>
      </c>
      <c r="G277" s="0" t="s">
        <v>22</v>
      </c>
      <c r="H277" s="0" t="s">
        <v>22</v>
      </c>
      <c r="I277" s="0" t="s">
        <v>897</v>
      </c>
    </row>
    <row customHeight="1" ht="11.25">
      <c r="A278" s="1856" t="s">
        <v>2485</v>
      </c>
      <c r="B278" s="1856" t="s">
        <v>16</v>
      </c>
      <c r="C278" s="0" t="s">
        <v>3180</v>
      </c>
      <c r="D278" s="0" t="s">
        <v>3181</v>
      </c>
      <c r="E278" s="0" t="s">
        <v>3182</v>
      </c>
      <c r="F278" s="0" t="s">
        <v>2492</v>
      </c>
      <c r="G278" s="0" t="s">
        <v>22</v>
      </c>
      <c r="H278" s="0" t="s">
        <v>3183</v>
      </c>
      <c r="I278" s="0" t="s">
        <v>897</v>
      </c>
    </row>
    <row customHeight="1" ht="11.25">
      <c r="A279" s="1856" t="s">
        <v>2485</v>
      </c>
      <c r="B279" s="1856" t="s">
        <v>16</v>
      </c>
      <c r="C279" s="0" t="s">
        <v>3184</v>
      </c>
      <c r="D279" s="0" t="s">
        <v>3185</v>
      </c>
      <c r="E279" s="0" t="s">
        <v>3186</v>
      </c>
      <c r="F279" s="0" t="s">
        <v>2826</v>
      </c>
      <c r="G279" s="0" t="s">
        <v>22</v>
      </c>
      <c r="H279" s="0" t="s">
        <v>22</v>
      </c>
      <c r="I279" s="0" t="s">
        <v>897</v>
      </c>
    </row>
    <row customHeight="1" ht="11.25">
      <c r="A280" s="1856" t="s">
        <v>2485</v>
      </c>
      <c r="B280" s="1856" t="s">
        <v>16</v>
      </c>
      <c r="C280" s="0" t="s">
        <v>3187</v>
      </c>
      <c r="D280" s="0" t="s">
        <v>3188</v>
      </c>
      <c r="E280" s="0" t="s">
        <v>3189</v>
      </c>
      <c r="F280" s="0" t="s">
        <v>2603</v>
      </c>
      <c r="G280" s="0" t="s">
        <v>22</v>
      </c>
      <c r="H280" s="0" t="s">
        <v>22</v>
      </c>
      <c r="I280" s="0" t="s">
        <v>897</v>
      </c>
    </row>
    <row customHeight="1" ht="11.25">
      <c r="A281" s="1856" t="s">
        <v>2485</v>
      </c>
      <c r="B281" s="1856" t="s">
        <v>16</v>
      </c>
      <c r="C281" s="0" t="s">
        <v>3190</v>
      </c>
      <c r="D281" s="0" t="s">
        <v>3191</v>
      </c>
      <c r="E281" s="0" t="s">
        <v>3192</v>
      </c>
      <c r="F281" s="0" t="s">
        <v>2488</v>
      </c>
      <c r="G281" s="0" t="s">
        <v>22</v>
      </c>
      <c r="H281" s="0" t="s">
        <v>22</v>
      </c>
      <c r="I281" s="0" t="s">
        <v>897</v>
      </c>
    </row>
    <row customHeight="1" ht="11.25">
      <c r="A282" s="1856" t="s">
        <v>2485</v>
      </c>
      <c r="B282" s="1856" t="s">
        <v>16</v>
      </c>
      <c r="C282" s="0" t="s">
        <v>3193</v>
      </c>
      <c r="D282" s="0" t="s">
        <v>3194</v>
      </c>
      <c r="E282" s="0" t="s">
        <v>3195</v>
      </c>
      <c r="F282" s="0" t="s">
        <v>2558</v>
      </c>
      <c r="G282" s="0" t="s">
        <v>22</v>
      </c>
      <c r="H282" s="0" t="s">
        <v>22</v>
      </c>
      <c r="I282" s="0" t="s">
        <v>897</v>
      </c>
    </row>
    <row customHeight="1" ht="11.25">
      <c r="A283" s="1856" t="s">
        <v>2485</v>
      </c>
      <c r="B283" s="1856" t="s">
        <v>16</v>
      </c>
      <c r="C283" s="0" t="s">
        <v>3196</v>
      </c>
      <c r="D283" s="0" t="s">
        <v>3197</v>
      </c>
      <c r="E283" s="0" t="s">
        <v>3198</v>
      </c>
      <c r="F283" s="0" t="s">
        <v>2549</v>
      </c>
      <c r="G283" s="0" t="s">
        <v>3199</v>
      </c>
      <c r="H283" s="0" t="s">
        <v>22</v>
      </c>
      <c r="I283" s="0" t="s">
        <v>897</v>
      </c>
    </row>
    <row customHeight="1" ht="11.25">
      <c r="A284" s="1856" t="s">
        <v>2485</v>
      </c>
      <c r="B284" s="1856" t="s">
        <v>16</v>
      </c>
      <c r="C284" s="0" t="s">
        <v>3200</v>
      </c>
      <c r="D284" s="0" t="s">
        <v>3201</v>
      </c>
      <c r="E284" s="0" t="s">
        <v>2487</v>
      </c>
      <c r="F284" s="0" t="s">
        <v>2488</v>
      </c>
      <c r="G284" s="0" t="s">
        <v>22</v>
      </c>
      <c r="H284" s="0" t="s">
        <v>22</v>
      </c>
      <c r="I284" s="0" t="s">
        <v>897</v>
      </c>
    </row>
    <row customHeight="1" ht="11.25">
      <c r="A285" s="1856" t="s">
        <v>2485</v>
      </c>
      <c r="B285" s="1856" t="s">
        <v>16</v>
      </c>
      <c r="C285" s="0" t="s">
        <v>3202</v>
      </c>
      <c r="D285" s="0" t="s">
        <v>3203</v>
      </c>
      <c r="E285" s="0" t="s">
        <v>3204</v>
      </c>
      <c r="F285" s="0" t="s">
        <v>2492</v>
      </c>
      <c r="G285" s="0" t="s">
        <v>22</v>
      </c>
      <c r="H285" s="0" t="s">
        <v>22</v>
      </c>
      <c r="I285" s="0" t="s">
        <v>897</v>
      </c>
    </row>
    <row customHeight="1" ht="11.25">
      <c r="A286" s="1856" t="s">
        <v>2485</v>
      </c>
      <c r="B286" s="1856" t="s">
        <v>16</v>
      </c>
      <c r="C286" s="0" t="s">
        <v>3205</v>
      </c>
      <c r="D286" s="0" t="s">
        <v>3206</v>
      </c>
      <c r="E286" s="0" t="s">
        <v>3207</v>
      </c>
      <c r="F286" s="0" t="s">
        <v>2492</v>
      </c>
      <c r="G286" s="0" t="s">
        <v>22</v>
      </c>
      <c r="H286" s="0" t="s">
        <v>22</v>
      </c>
      <c r="I286" s="0" t="s">
        <v>897</v>
      </c>
    </row>
    <row customHeight="1" ht="11.25">
      <c r="A287" s="1856" t="s">
        <v>2485</v>
      </c>
      <c r="B287" s="1856" t="s">
        <v>16</v>
      </c>
      <c r="C287" s="0" t="s">
        <v>2845</v>
      </c>
      <c r="D287" s="0" t="s">
        <v>2846</v>
      </c>
      <c r="E287" s="0" t="s">
        <v>2847</v>
      </c>
      <c r="F287" s="0" t="s">
        <v>2510</v>
      </c>
      <c r="G287" s="0" t="s">
        <v>22</v>
      </c>
      <c r="H287" s="0" t="s">
        <v>22</v>
      </c>
      <c r="I287" s="0" t="s">
        <v>897</v>
      </c>
    </row>
    <row customHeight="1" ht="11.25">
      <c r="A288" s="1856" t="s">
        <v>2485</v>
      </c>
      <c r="B288" s="1856" t="s">
        <v>16</v>
      </c>
      <c r="C288" s="0" t="s">
        <v>2856</v>
      </c>
      <c r="D288" s="0" t="s">
        <v>2857</v>
      </c>
      <c r="E288" s="0" t="s">
        <v>2858</v>
      </c>
      <c r="F288" s="0" t="s">
        <v>2826</v>
      </c>
      <c r="G288" s="0" t="s">
        <v>2859</v>
      </c>
      <c r="H288" s="0" t="s">
        <v>22</v>
      </c>
      <c r="I288" s="0" t="s">
        <v>897</v>
      </c>
    </row>
    <row customHeight="1" ht="11.25">
      <c r="A289" s="1856" t="s">
        <v>2485</v>
      </c>
      <c r="B289" s="1856" t="s">
        <v>16</v>
      </c>
      <c r="C289" s="0" t="s">
        <v>2860</v>
      </c>
      <c r="D289" s="0" t="s">
        <v>2861</v>
      </c>
      <c r="E289" s="0" t="s">
        <v>2862</v>
      </c>
      <c r="F289" s="0" t="s">
        <v>2549</v>
      </c>
      <c r="G289" s="0" t="s">
        <v>2863</v>
      </c>
      <c r="H289" s="0" t="s">
        <v>22</v>
      </c>
      <c r="I289" s="0" t="s">
        <v>897</v>
      </c>
    </row>
    <row customHeight="1" ht="11.25">
      <c r="A290" s="1856" t="s">
        <v>2485</v>
      </c>
      <c r="B290" s="1856" t="s">
        <v>16</v>
      </c>
      <c r="C290" s="0" t="s">
        <v>3208</v>
      </c>
      <c r="D290" s="0" t="s">
        <v>3209</v>
      </c>
      <c r="E290" s="0" t="s">
        <v>3210</v>
      </c>
      <c r="F290" s="0" t="s">
        <v>2603</v>
      </c>
      <c r="G290" s="0" t="s">
        <v>22</v>
      </c>
      <c r="H290" s="0" t="s">
        <v>22</v>
      </c>
      <c r="I290" s="0" t="s">
        <v>897</v>
      </c>
    </row>
    <row customHeight="1" ht="11.25">
      <c r="A291" s="1856" t="s">
        <v>2485</v>
      </c>
      <c r="B291" s="1856" t="s">
        <v>16</v>
      </c>
      <c r="C291" s="0" t="s">
        <v>3211</v>
      </c>
      <c r="D291" s="0" t="s">
        <v>3212</v>
      </c>
      <c r="E291" s="0" t="s">
        <v>3213</v>
      </c>
      <c r="F291" s="0" t="s">
        <v>2728</v>
      </c>
      <c r="G291" s="0" t="s">
        <v>22</v>
      </c>
      <c r="H291" s="0" t="s">
        <v>22</v>
      </c>
      <c r="I291" s="0" t="s">
        <v>897</v>
      </c>
    </row>
    <row customHeight="1" ht="11.25">
      <c r="A292" s="1856" t="s">
        <v>2485</v>
      </c>
      <c r="B292" s="1856" t="s">
        <v>16</v>
      </c>
      <c r="C292" s="0" t="s">
        <v>3214</v>
      </c>
      <c r="D292" s="0" t="s">
        <v>3215</v>
      </c>
      <c r="E292" s="0" t="s">
        <v>3216</v>
      </c>
      <c r="F292" s="0" t="s">
        <v>3217</v>
      </c>
      <c r="G292" s="0" t="s">
        <v>22</v>
      </c>
      <c r="H292" s="0" t="s">
        <v>22</v>
      </c>
      <c r="I292" s="0" t="s">
        <v>897</v>
      </c>
    </row>
    <row customHeight="1" ht="11.25">
      <c r="A293" s="1856" t="s">
        <v>2485</v>
      </c>
      <c r="B293" s="1856" t="s">
        <v>16</v>
      </c>
      <c r="C293" s="0" t="s">
        <v>3218</v>
      </c>
      <c r="D293" s="0" t="s">
        <v>3219</v>
      </c>
      <c r="E293" s="0" t="s">
        <v>3220</v>
      </c>
      <c r="F293" s="0" t="s">
        <v>2634</v>
      </c>
      <c r="G293" s="0" t="s">
        <v>22</v>
      </c>
      <c r="H293" s="0" t="s">
        <v>22</v>
      </c>
      <c r="I293" s="0" t="s">
        <v>897</v>
      </c>
    </row>
    <row customHeight="1" ht="11.25">
      <c r="A294" s="1856" t="s">
        <v>2485</v>
      </c>
      <c r="B294" s="1856" t="s">
        <v>16</v>
      </c>
      <c r="C294" s="0" t="s">
        <v>2874</v>
      </c>
      <c r="D294" s="0" t="s">
        <v>2875</v>
      </c>
      <c r="E294" s="0" t="s">
        <v>2876</v>
      </c>
      <c r="F294" s="0" t="s">
        <v>2703</v>
      </c>
      <c r="G294" s="0" t="s">
        <v>22</v>
      </c>
      <c r="H294" s="0" t="s">
        <v>22</v>
      </c>
      <c r="I294" s="0" t="s">
        <v>897</v>
      </c>
    </row>
    <row customHeight="1" ht="11.25">
      <c r="A295" s="1856" t="s">
        <v>2485</v>
      </c>
      <c r="B295" s="1856" t="s">
        <v>16</v>
      </c>
      <c r="C295" s="0" t="s">
        <v>2880</v>
      </c>
      <c r="D295" s="0" t="s">
        <v>2881</v>
      </c>
      <c r="E295" s="0" t="s">
        <v>2882</v>
      </c>
      <c r="F295" s="0" t="s">
        <v>2883</v>
      </c>
      <c r="G295" s="0" t="s">
        <v>2884</v>
      </c>
      <c r="H295" s="0" t="s">
        <v>22</v>
      </c>
      <c r="I295" s="0" t="s">
        <v>897</v>
      </c>
    </row>
    <row customHeight="1" ht="11.25">
      <c r="A296" s="1856" t="s">
        <v>2485</v>
      </c>
      <c r="B296" s="1856" t="s">
        <v>16</v>
      </c>
      <c r="C296" s="0" t="s">
        <v>2885</v>
      </c>
      <c r="D296" s="0" t="s">
        <v>2886</v>
      </c>
      <c r="E296" s="0" t="s">
        <v>2887</v>
      </c>
      <c r="F296" s="0" t="s">
        <v>2703</v>
      </c>
      <c r="G296" s="0" t="s">
        <v>22</v>
      </c>
      <c r="H296" s="0" t="s">
        <v>22</v>
      </c>
      <c r="I296" s="0" t="s">
        <v>897</v>
      </c>
    </row>
    <row customHeight="1" ht="11.25">
      <c r="A297" s="1856" t="s">
        <v>2485</v>
      </c>
      <c r="B297" s="1856" t="s">
        <v>16</v>
      </c>
      <c r="C297" s="0" t="s">
        <v>2891</v>
      </c>
      <c r="D297" s="0" t="s">
        <v>2892</v>
      </c>
      <c r="E297" s="0" t="s">
        <v>2893</v>
      </c>
      <c r="F297" s="0" t="s">
        <v>2525</v>
      </c>
      <c r="G297" s="0" t="s">
        <v>22</v>
      </c>
      <c r="H297" s="0" t="s">
        <v>22</v>
      </c>
      <c r="I297" s="0" t="s">
        <v>897</v>
      </c>
    </row>
    <row customHeight="1" ht="11.25">
      <c r="A298" s="1856" t="s">
        <v>2485</v>
      </c>
      <c r="B298" s="1856" t="s">
        <v>16</v>
      </c>
      <c r="C298" s="0" t="s">
        <v>2894</v>
      </c>
      <c r="D298" s="0" t="s">
        <v>2895</v>
      </c>
      <c r="E298" s="0" t="s">
        <v>2896</v>
      </c>
      <c r="F298" s="0" t="s">
        <v>2634</v>
      </c>
      <c r="G298" s="0" t="s">
        <v>22</v>
      </c>
      <c r="H298" s="0" t="s">
        <v>22</v>
      </c>
      <c r="I298" s="0" t="s">
        <v>897</v>
      </c>
    </row>
    <row customHeight="1" ht="11.25">
      <c r="A299" s="1856" t="s">
        <v>2485</v>
      </c>
      <c r="B299" s="1856" t="s">
        <v>16</v>
      </c>
      <c r="C299" s="0" t="s">
        <v>3221</v>
      </c>
      <c r="D299" s="0" t="s">
        <v>3222</v>
      </c>
      <c r="E299" s="0" t="s">
        <v>3223</v>
      </c>
      <c r="F299" s="0" t="s">
        <v>3030</v>
      </c>
      <c r="G299" s="0" t="s">
        <v>22</v>
      </c>
      <c r="H299" s="0" t="s">
        <v>22</v>
      </c>
      <c r="I299" s="0" t="s">
        <v>897</v>
      </c>
    </row>
    <row customHeight="1" ht="11.25">
      <c r="A300" s="1856" t="s">
        <v>2485</v>
      </c>
      <c r="B300" s="1856" t="s">
        <v>16</v>
      </c>
      <c r="C300" s="0" t="s">
        <v>3224</v>
      </c>
      <c r="D300" s="0" t="s">
        <v>3225</v>
      </c>
      <c r="E300" s="0" t="s">
        <v>3226</v>
      </c>
      <c r="F300" s="0" t="s">
        <v>3030</v>
      </c>
      <c r="G300" s="0" t="s">
        <v>22</v>
      </c>
      <c r="H300" s="0" t="s">
        <v>22</v>
      </c>
      <c r="I300" s="0" t="s">
        <v>897</v>
      </c>
    </row>
    <row customHeight="1" ht="11.25">
      <c r="A301" s="1856" t="s">
        <v>2485</v>
      </c>
      <c r="B301" s="1856" t="s">
        <v>16</v>
      </c>
      <c r="C301" s="0" t="s">
        <v>3227</v>
      </c>
      <c r="D301" s="0" t="s">
        <v>3228</v>
      </c>
      <c r="E301" s="0" t="s">
        <v>3229</v>
      </c>
      <c r="F301" s="0" t="s">
        <v>2525</v>
      </c>
      <c r="G301" s="0" t="s">
        <v>22</v>
      </c>
      <c r="H301" s="0" t="s">
        <v>22</v>
      </c>
      <c r="I301" s="0" t="s">
        <v>897</v>
      </c>
    </row>
    <row customHeight="1" ht="11.25">
      <c r="A302" s="1856" t="s">
        <v>2485</v>
      </c>
      <c r="B302" s="1856" t="s">
        <v>16</v>
      </c>
      <c r="C302" s="0" t="s">
        <v>3230</v>
      </c>
      <c r="D302" s="0" t="s">
        <v>3231</v>
      </c>
      <c r="E302" s="0" t="s">
        <v>3232</v>
      </c>
      <c r="F302" s="0" t="s">
        <v>2903</v>
      </c>
      <c r="G302" s="0" t="s">
        <v>22</v>
      </c>
      <c r="H302" s="0" t="s">
        <v>22</v>
      </c>
      <c r="I302" s="0" t="s">
        <v>897</v>
      </c>
    </row>
    <row customHeight="1" ht="11.25">
      <c r="A303" s="1856" t="s">
        <v>2485</v>
      </c>
      <c r="B303" s="1856" t="s">
        <v>16</v>
      </c>
      <c r="C303" s="0" t="s">
        <v>3233</v>
      </c>
      <c r="D303" s="0" t="s">
        <v>3234</v>
      </c>
      <c r="E303" s="0" t="s">
        <v>3235</v>
      </c>
      <c r="F303" s="0" t="s">
        <v>2689</v>
      </c>
      <c r="G303" s="0" t="s">
        <v>22</v>
      </c>
      <c r="H303" s="0" t="s">
        <v>22</v>
      </c>
      <c r="I303" s="0" t="s">
        <v>897</v>
      </c>
    </row>
    <row customHeight="1" ht="11.25">
      <c r="A304" s="1856" t="s">
        <v>2485</v>
      </c>
      <c r="B304" s="1856" t="s">
        <v>16</v>
      </c>
      <c r="C304" s="0" t="s">
        <v>2900</v>
      </c>
      <c r="D304" s="0" t="s">
        <v>2901</v>
      </c>
      <c r="E304" s="0" t="s">
        <v>2902</v>
      </c>
      <c r="F304" s="0" t="s">
        <v>2903</v>
      </c>
      <c r="G304" s="0" t="s">
        <v>22</v>
      </c>
      <c r="H304" s="0" t="s">
        <v>22</v>
      </c>
      <c r="I304" s="0" t="s">
        <v>897</v>
      </c>
    </row>
    <row customHeight="1" ht="11.25">
      <c r="A305" s="1856" t="s">
        <v>2485</v>
      </c>
      <c r="B305" s="1856" t="s">
        <v>16</v>
      </c>
      <c r="C305" s="0" t="s">
        <v>3236</v>
      </c>
      <c r="D305" s="0" t="s">
        <v>3237</v>
      </c>
      <c r="E305" s="0" t="s">
        <v>3238</v>
      </c>
      <c r="F305" s="0" t="s">
        <v>2634</v>
      </c>
      <c r="G305" s="0" t="s">
        <v>22</v>
      </c>
      <c r="H305" s="0" t="s">
        <v>22</v>
      </c>
      <c r="I305" s="0" t="s">
        <v>897</v>
      </c>
    </row>
    <row customHeight="1" ht="11.25">
      <c r="A306" s="1856" t="s">
        <v>2485</v>
      </c>
      <c r="B306" s="1856" t="s">
        <v>16</v>
      </c>
      <c r="C306" s="0" t="s">
        <v>3239</v>
      </c>
      <c r="D306" s="0" t="s">
        <v>3240</v>
      </c>
      <c r="E306" s="0" t="s">
        <v>3241</v>
      </c>
      <c r="F306" s="0" t="s">
        <v>3082</v>
      </c>
      <c r="G306" s="0" t="s">
        <v>3242</v>
      </c>
      <c r="H306" s="0" t="s">
        <v>22</v>
      </c>
      <c r="I306" s="0" t="s">
        <v>897</v>
      </c>
    </row>
    <row customHeight="1" ht="11.25">
      <c r="A307" s="1856" t="s">
        <v>2485</v>
      </c>
      <c r="B307" s="1856" t="s">
        <v>16</v>
      </c>
      <c r="C307" s="0" t="s">
        <v>3243</v>
      </c>
      <c r="D307" s="0" t="s">
        <v>3244</v>
      </c>
      <c r="E307" s="0" t="s">
        <v>3245</v>
      </c>
      <c r="F307" s="0" t="s">
        <v>2603</v>
      </c>
      <c r="G307" s="0" t="s">
        <v>22</v>
      </c>
      <c r="H307" s="0" t="s">
        <v>22</v>
      </c>
      <c r="I307" s="0" t="s">
        <v>897</v>
      </c>
    </row>
    <row customHeight="1" ht="11.25">
      <c r="A308" s="1856" t="s">
        <v>2485</v>
      </c>
      <c r="B308" s="1856" t="s">
        <v>16</v>
      </c>
      <c r="C308" s="0" t="s">
        <v>3246</v>
      </c>
      <c r="D308" s="0" t="s">
        <v>3247</v>
      </c>
      <c r="E308" s="0" t="s">
        <v>3248</v>
      </c>
      <c r="F308" s="0" t="s">
        <v>2626</v>
      </c>
      <c r="G308" s="0" t="s">
        <v>22</v>
      </c>
      <c r="H308" s="0" t="s">
        <v>22</v>
      </c>
      <c r="I308" s="0" t="s">
        <v>897</v>
      </c>
    </row>
    <row customHeight="1" ht="11.25">
      <c r="A309" s="1856" t="s">
        <v>2485</v>
      </c>
      <c r="B309" s="1856" t="s">
        <v>16</v>
      </c>
      <c r="C309" s="0" t="s">
        <v>3249</v>
      </c>
      <c r="D309" s="0" t="s">
        <v>3250</v>
      </c>
      <c r="E309" s="0" t="s">
        <v>3251</v>
      </c>
      <c r="F309" s="0" t="s">
        <v>2492</v>
      </c>
      <c r="G309" s="0" t="s">
        <v>22</v>
      </c>
      <c r="H309" s="0" t="s">
        <v>22</v>
      </c>
      <c r="I309" s="0" t="s">
        <v>897</v>
      </c>
    </row>
    <row customHeight="1" ht="11.25">
      <c r="A310" s="1856" t="s">
        <v>2485</v>
      </c>
      <c r="B310" s="1856" t="s">
        <v>16</v>
      </c>
      <c r="C310" s="0" t="s">
        <v>3252</v>
      </c>
      <c r="D310" s="0" t="s">
        <v>3253</v>
      </c>
      <c r="E310" s="0" t="s">
        <v>3254</v>
      </c>
      <c r="F310" s="0" t="s">
        <v>2662</v>
      </c>
      <c r="G310" s="0" t="s">
        <v>22</v>
      </c>
      <c r="H310" s="0" t="s">
        <v>22</v>
      </c>
      <c r="I310" s="0" t="s">
        <v>897</v>
      </c>
    </row>
    <row customHeight="1" ht="11.25">
      <c r="A311" s="1856" t="s">
        <v>2485</v>
      </c>
      <c r="B311" s="1856" t="s">
        <v>16</v>
      </c>
      <c r="C311" s="0" t="s">
        <v>3255</v>
      </c>
      <c r="D311" s="0" t="s">
        <v>3256</v>
      </c>
      <c r="E311" s="0" t="s">
        <v>3257</v>
      </c>
      <c r="F311" s="0" t="s">
        <v>3030</v>
      </c>
      <c r="G311" s="0" t="s">
        <v>3258</v>
      </c>
      <c r="H311" s="0" t="s">
        <v>3259</v>
      </c>
      <c r="I311" s="0" t="s">
        <v>897</v>
      </c>
    </row>
    <row customHeight="1" ht="11.25">
      <c r="A312" s="1856" t="s">
        <v>2485</v>
      </c>
      <c r="B312" s="1856" t="s">
        <v>16</v>
      </c>
      <c r="C312" s="0" t="s">
        <v>3260</v>
      </c>
      <c r="D312" s="0" t="s">
        <v>3261</v>
      </c>
      <c r="E312" s="0" t="s">
        <v>3262</v>
      </c>
      <c r="F312" s="0" t="s">
        <v>2558</v>
      </c>
      <c r="G312" s="0" t="s">
        <v>22</v>
      </c>
      <c r="H312" s="0" t="s">
        <v>22</v>
      </c>
      <c r="I312" s="0" t="s">
        <v>897</v>
      </c>
    </row>
    <row customHeight="1" ht="11.25">
      <c r="A313" s="1856" t="s">
        <v>2485</v>
      </c>
      <c r="B313" s="1856" t="s">
        <v>16</v>
      </c>
      <c r="C313" s="0" t="s">
        <v>22</v>
      </c>
      <c r="D313" s="0" t="s">
        <v>2486</v>
      </c>
      <c r="E313" s="0" t="s">
        <v>2487</v>
      </c>
      <c r="F313" s="0" t="s">
        <v>2488</v>
      </c>
      <c r="G313" s="0" t="s">
        <v>22</v>
      </c>
      <c r="H313" s="0" t="s">
        <v>22</v>
      </c>
      <c r="I313" s="0" t="s">
        <v>950</v>
      </c>
    </row>
    <row customHeight="1" ht="11.25">
      <c r="A314" s="1856" t="s">
        <v>2485</v>
      </c>
      <c r="B314" s="1856" t="s">
        <v>16</v>
      </c>
      <c r="C314" s="0" t="s">
        <v>2489</v>
      </c>
      <c r="D314" s="0" t="s">
        <v>2490</v>
      </c>
      <c r="E314" s="0" t="s">
        <v>2491</v>
      </c>
      <c r="F314" s="0" t="s">
        <v>2492</v>
      </c>
      <c r="G314" s="0" t="s">
        <v>22</v>
      </c>
      <c r="H314" s="0" t="s">
        <v>22</v>
      </c>
      <c r="I314" s="0" t="s">
        <v>950</v>
      </c>
    </row>
    <row customHeight="1" ht="11.25">
      <c r="A315" s="1856" t="s">
        <v>2485</v>
      </c>
      <c r="B315" s="1856" t="s">
        <v>16</v>
      </c>
      <c r="C315" s="0" t="s">
        <v>2507</v>
      </c>
      <c r="D315" s="0" t="s">
        <v>2508</v>
      </c>
      <c r="E315" s="0" t="s">
        <v>2509</v>
      </c>
      <c r="F315" s="0" t="s">
        <v>2510</v>
      </c>
      <c r="G315" s="0" t="s">
        <v>22</v>
      </c>
      <c r="H315" s="0" t="s">
        <v>22</v>
      </c>
      <c r="I315" s="0" t="s">
        <v>950</v>
      </c>
    </row>
    <row customHeight="1" ht="11.25">
      <c r="A316" s="1856" t="s">
        <v>2485</v>
      </c>
      <c r="B316" s="1856" t="s">
        <v>16</v>
      </c>
      <c r="C316" s="0" t="s">
        <v>2514</v>
      </c>
      <c r="D316" s="0" t="s">
        <v>46</v>
      </c>
      <c r="E316" s="0" t="s">
        <v>49</v>
      </c>
      <c r="F316" s="0" t="s">
        <v>2515</v>
      </c>
      <c r="G316" s="0" t="s">
        <v>2513</v>
      </c>
      <c r="H316" s="0" t="s">
        <v>22</v>
      </c>
      <c r="I316" s="0" t="s">
        <v>950</v>
      </c>
    </row>
    <row customHeight="1" ht="11.25">
      <c r="A317" s="1856" t="s">
        <v>2485</v>
      </c>
      <c r="B317" s="1856" t="s">
        <v>16</v>
      </c>
      <c r="C317" s="0" t="s">
        <v>2522</v>
      </c>
      <c r="D317" s="0" t="s">
        <v>2523</v>
      </c>
      <c r="E317" s="0" t="s">
        <v>2524</v>
      </c>
      <c r="F317" s="0" t="s">
        <v>2525</v>
      </c>
      <c r="G317" s="0" t="s">
        <v>22</v>
      </c>
      <c r="H317" s="0" t="s">
        <v>22</v>
      </c>
      <c r="I317" s="0" t="s">
        <v>950</v>
      </c>
    </row>
    <row customHeight="1" ht="11.25">
      <c r="A318" s="1856" t="s">
        <v>2485</v>
      </c>
      <c r="B318" s="1856" t="s">
        <v>16</v>
      </c>
      <c r="C318" s="0" t="s">
        <v>2534</v>
      </c>
      <c r="D318" s="0" t="s">
        <v>2535</v>
      </c>
      <c r="E318" s="0" t="s">
        <v>2536</v>
      </c>
      <c r="F318" s="0" t="s">
        <v>2537</v>
      </c>
      <c r="G318" s="0" t="s">
        <v>22</v>
      </c>
      <c r="H318" s="0" t="s">
        <v>22</v>
      </c>
      <c r="I318" s="0" t="s">
        <v>950</v>
      </c>
    </row>
    <row customHeight="1" ht="11.25">
      <c r="A319" s="1856" t="s">
        <v>2485</v>
      </c>
      <c r="B319" s="1856" t="s">
        <v>16</v>
      </c>
      <c r="C319" s="0" t="s">
        <v>2953</v>
      </c>
      <c r="D319" s="0" t="s">
        <v>2954</v>
      </c>
      <c r="E319" s="0" t="s">
        <v>2955</v>
      </c>
      <c r="F319" s="0" t="s">
        <v>2742</v>
      </c>
      <c r="G319" s="0" t="s">
        <v>2956</v>
      </c>
      <c r="H319" s="0" t="s">
        <v>22</v>
      </c>
      <c r="I319" s="0" t="s">
        <v>950</v>
      </c>
    </row>
    <row customHeight="1" ht="11.25">
      <c r="A320" s="1856" t="s">
        <v>2485</v>
      </c>
      <c r="B320" s="1856" t="s">
        <v>16</v>
      </c>
      <c r="C320" s="0" t="s">
        <v>3263</v>
      </c>
      <c r="D320" s="0" t="s">
        <v>3264</v>
      </c>
      <c r="E320" s="0" t="s">
        <v>3265</v>
      </c>
      <c r="F320" s="0" t="s">
        <v>2488</v>
      </c>
      <c r="G320" s="0" t="s">
        <v>22</v>
      </c>
      <c r="H320" s="0" t="s">
        <v>22</v>
      </c>
      <c r="I320" s="0" t="s">
        <v>950</v>
      </c>
    </row>
    <row customHeight="1" ht="11.25">
      <c r="A321" s="1856" t="s">
        <v>2485</v>
      </c>
      <c r="B321" s="1856" t="s">
        <v>16</v>
      </c>
      <c r="C321" s="0" t="s">
        <v>2543</v>
      </c>
      <c r="D321" s="0" t="s">
        <v>2544</v>
      </c>
      <c r="E321" s="0" t="s">
        <v>2545</v>
      </c>
      <c r="F321" s="0" t="s">
        <v>2496</v>
      </c>
      <c r="G321" s="0" t="s">
        <v>22</v>
      </c>
      <c r="H321" s="0" t="s">
        <v>22</v>
      </c>
      <c r="I321" s="0" t="s">
        <v>950</v>
      </c>
    </row>
    <row customHeight="1" ht="11.25">
      <c r="A322" s="1856" t="s">
        <v>2485</v>
      </c>
      <c r="B322" s="1856" t="s">
        <v>16</v>
      </c>
      <c r="C322" s="0" t="s">
        <v>2546</v>
      </c>
      <c r="D322" s="0" t="s">
        <v>2547</v>
      </c>
      <c r="E322" s="0" t="s">
        <v>2548</v>
      </c>
      <c r="F322" s="0" t="s">
        <v>2549</v>
      </c>
      <c r="G322" s="0" t="s">
        <v>22</v>
      </c>
      <c r="H322" s="0" t="s">
        <v>22</v>
      </c>
      <c r="I322" s="0" t="s">
        <v>950</v>
      </c>
    </row>
    <row customHeight="1" ht="11.25">
      <c r="A323" s="1856" t="s">
        <v>2485</v>
      </c>
      <c r="B323" s="1856" t="s">
        <v>16</v>
      </c>
      <c r="C323" s="0" t="s">
        <v>3266</v>
      </c>
      <c r="D323" s="0" t="s">
        <v>3267</v>
      </c>
      <c r="E323" s="0" t="s">
        <v>3268</v>
      </c>
      <c r="F323" s="0" t="s">
        <v>2492</v>
      </c>
      <c r="G323" s="0" t="s">
        <v>3269</v>
      </c>
      <c r="H323" s="0" t="s">
        <v>22</v>
      </c>
      <c r="I323" s="0" t="s">
        <v>950</v>
      </c>
    </row>
    <row customHeight="1" ht="11.25">
      <c r="A324" s="1856" t="s">
        <v>2485</v>
      </c>
      <c r="B324" s="1856" t="s">
        <v>16</v>
      </c>
      <c r="C324" s="0" t="s">
        <v>2957</v>
      </c>
      <c r="D324" s="0" t="s">
        <v>2958</v>
      </c>
      <c r="E324" s="0" t="s">
        <v>2959</v>
      </c>
      <c r="F324" s="0" t="s">
        <v>2525</v>
      </c>
      <c r="G324" s="0" t="s">
        <v>2960</v>
      </c>
      <c r="H324" s="0" t="s">
        <v>22</v>
      </c>
      <c r="I324" s="0" t="s">
        <v>950</v>
      </c>
    </row>
    <row customHeight="1" ht="11.25">
      <c r="A325" s="1856" t="s">
        <v>2485</v>
      </c>
      <c r="B325" s="1856" t="s">
        <v>16</v>
      </c>
      <c r="C325" s="0" t="s">
        <v>2961</v>
      </c>
      <c r="D325" s="0" t="s">
        <v>2962</v>
      </c>
      <c r="E325" s="0" t="s">
        <v>2963</v>
      </c>
      <c r="F325" s="0" t="s">
        <v>2496</v>
      </c>
      <c r="G325" s="0" t="s">
        <v>22</v>
      </c>
      <c r="H325" s="0" t="s">
        <v>22</v>
      </c>
      <c r="I325" s="0" t="s">
        <v>950</v>
      </c>
    </row>
    <row customHeight="1" ht="11.25">
      <c r="A326" s="1856" t="s">
        <v>2485</v>
      </c>
      <c r="B326" s="1856" t="s">
        <v>16</v>
      </c>
      <c r="C326" s="0" t="s">
        <v>2563</v>
      </c>
      <c r="D326" s="0" t="s">
        <v>2564</v>
      </c>
      <c r="E326" s="0" t="s">
        <v>2565</v>
      </c>
      <c r="F326" s="0" t="s">
        <v>2566</v>
      </c>
      <c r="G326" s="0" t="s">
        <v>22</v>
      </c>
      <c r="H326" s="0" t="s">
        <v>22</v>
      </c>
      <c r="I326" s="0" t="s">
        <v>950</v>
      </c>
    </row>
    <row customHeight="1" ht="11.25">
      <c r="A327" s="1856" t="s">
        <v>2485</v>
      </c>
      <c r="B327" s="1856" t="s">
        <v>16</v>
      </c>
      <c r="C327" s="0" t="s">
        <v>2964</v>
      </c>
      <c r="D327" s="0" t="s">
        <v>2965</v>
      </c>
      <c r="E327" s="0" t="s">
        <v>2966</v>
      </c>
      <c r="F327" s="0" t="s">
        <v>2930</v>
      </c>
      <c r="G327" s="0" t="s">
        <v>2967</v>
      </c>
      <c r="H327" s="0" t="s">
        <v>22</v>
      </c>
      <c r="I327" s="0" t="s">
        <v>950</v>
      </c>
    </row>
    <row customHeight="1" ht="11.25">
      <c r="A328" s="1856" t="s">
        <v>2485</v>
      </c>
      <c r="B328" s="1856" t="s">
        <v>16</v>
      </c>
      <c r="C328" s="0" t="s">
        <v>2575</v>
      </c>
      <c r="D328" s="0" t="s">
        <v>2576</v>
      </c>
      <c r="E328" s="0" t="s">
        <v>2577</v>
      </c>
      <c r="F328" s="0" t="s">
        <v>2488</v>
      </c>
      <c r="G328" s="0" t="s">
        <v>2578</v>
      </c>
      <c r="H328" s="0" t="s">
        <v>22</v>
      </c>
      <c r="I328" s="0" t="s">
        <v>950</v>
      </c>
    </row>
    <row customHeight="1" ht="11.25">
      <c r="A329" s="1856" t="s">
        <v>2485</v>
      </c>
      <c r="B329" s="1856" t="s">
        <v>16</v>
      </c>
      <c r="C329" s="0" t="s">
        <v>2968</v>
      </c>
      <c r="D329" s="0" t="s">
        <v>2969</v>
      </c>
      <c r="E329" s="0" t="s">
        <v>2970</v>
      </c>
      <c r="F329" s="0" t="s">
        <v>2971</v>
      </c>
      <c r="G329" s="0" t="s">
        <v>22</v>
      </c>
      <c r="H329" s="0" t="s">
        <v>22</v>
      </c>
      <c r="I329" s="0" t="s">
        <v>950</v>
      </c>
    </row>
    <row customHeight="1" ht="11.25">
      <c r="A330" s="1856" t="s">
        <v>2485</v>
      </c>
      <c r="B330" s="1856" t="s">
        <v>16</v>
      </c>
      <c r="C330" s="0" t="s">
        <v>2597</v>
      </c>
      <c r="D330" s="0" t="s">
        <v>2598</v>
      </c>
      <c r="E330" s="0" t="s">
        <v>2595</v>
      </c>
      <c r="F330" s="0" t="s">
        <v>2599</v>
      </c>
      <c r="G330" s="0" t="s">
        <v>22</v>
      </c>
      <c r="H330" s="0" t="s">
        <v>22</v>
      </c>
      <c r="I330" s="0" t="s">
        <v>950</v>
      </c>
    </row>
    <row customHeight="1" ht="11.25">
      <c r="A331" s="1856" t="s">
        <v>2485</v>
      </c>
      <c r="B331" s="1856" t="s">
        <v>16</v>
      </c>
      <c r="C331" s="0" t="s">
        <v>2972</v>
      </c>
      <c r="D331" s="0" t="s">
        <v>2973</v>
      </c>
      <c r="E331" s="0" t="s">
        <v>2974</v>
      </c>
      <c r="F331" s="0" t="s">
        <v>2634</v>
      </c>
      <c r="G331" s="0" t="s">
        <v>22</v>
      </c>
      <c r="H331" s="0" t="s">
        <v>2975</v>
      </c>
      <c r="I331" s="0" t="s">
        <v>950</v>
      </c>
    </row>
    <row customHeight="1" ht="11.25">
      <c r="A332" s="1856" t="s">
        <v>2485</v>
      </c>
      <c r="B332" s="1856" t="s">
        <v>16</v>
      </c>
      <c r="C332" s="0" t="s">
        <v>2979</v>
      </c>
      <c r="D332" s="0" t="s">
        <v>2980</v>
      </c>
      <c r="E332" s="0" t="s">
        <v>2981</v>
      </c>
      <c r="F332" s="0" t="s">
        <v>594</v>
      </c>
      <c r="G332" s="0" t="s">
        <v>22</v>
      </c>
      <c r="H332" s="0" t="s">
        <v>22</v>
      </c>
      <c r="I332" s="0" t="s">
        <v>950</v>
      </c>
    </row>
    <row customHeight="1" ht="11.25">
      <c r="A333" s="1856" t="s">
        <v>2485</v>
      </c>
      <c r="B333" s="1856" t="s">
        <v>16</v>
      </c>
      <c r="C333" s="0" t="s">
        <v>2985</v>
      </c>
      <c r="D333" s="0" t="s">
        <v>2646</v>
      </c>
      <c r="E333" s="0" t="s">
        <v>2647</v>
      </c>
      <c r="F333" s="0" t="s">
        <v>2986</v>
      </c>
      <c r="G333" s="0" t="s">
        <v>22</v>
      </c>
      <c r="H333" s="0" t="s">
        <v>22</v>
      </c>
      <c r="I333" s="0" t="s">
        <v>950</v>
      </c>
    </row>
    <row customHeight="1" ht="11.25">
      <c r="A334" s="1856" t="s">
        <v>2485</v>
      </c>
      <c r="B334" s="1856" t="s">
        <v>16</v>
      </c>
      <c r="C334" s="0" t="s">
        <v>2934</v>
      </c>
      <c r="D334" s="0" t="s">
        <v>2646</v>
      </c>
      <c r="E334" s="0" t="s">
        <v>2647</v>
      </c>
      <c r="F334" s="0" t="s">
        <v>2935</v>
      </c>
      <c r="G334" s="0" t="s">
        <v>22</v>
      </c>
      <c r="H334" s="0" t="s">
        <v>22</v>
      </c>
      <c r="I334" s="0" t="s">
        <v>950</v>
      </c>
    </row>
    <row customHeight="1" ht="11.25">
      <c r="A335" s="1856" t="s">
        <v>2485</v>
      </c>
      <c r="B335" s="1856" t="s">
        <v>16</v>
      </c>
      <c r="C335" s="0" t="s">
        <v>2936</v>
      </c>
      <c r="D335" s="0" t="s">
        <v>2646</v>
      </c>
      <c r="E335" s="0" t="s">
        <v>2647</v>
      </c>
      <c r="F335" s="0" t="s">
        <v>2937</v>
      </c>
      <c r="G335" s="0" t="s">
        <v>22</v>
      </c>
      <c r="H335" s="0" t="s">
        <v>22</v>
      </c>
      <c r="I335" s="0" t="s">
        <v>950</v>
      </c>
    </row>
    <row customHeight="1" ht="11.25">
      <c r="A336" s="1856" t="s">
        <v>2485</v>
      </c>
      <c r="B336" s="1856" t="s">
        <v>16</v>
      </c>
      <c r="C336" s="0" t="s">
        <v>2938</v>
      </c>
      <c r="D336" s="0" t="s">
        <v>2646</v>
      </c>
      <c r="E336" s="0" t="s">
        <v>2647</v>
      </c>
      <c r="F336" s="0" t="s">
        <v>2939</v>
      </c>
      <c r="G336" s="0" t="s">
        <v>22</v>
      </c>
      <c r="H336" s="0" t="s">
        <v>22</v>
      </c>
      <c r="I336" s="0" t="s">
        <v>950</v>
      </c>
    </row>
    <row customHeight="1" ht="11.25">
      <c r="A337" s="1856" t="s">
        <v>2485</v>
      </c>
      <c r="B337" s="1856" t="s">
        <v>16</v>
      </c>
      <c r="C337" s="0" t="s">
        <v>2987</v>
      </c>
      <c r="D337" s="0" t="s">
        <v>2646</v>
      </c>
      <c r="E337" s="0" t="s">
        <v>2647</v>
      </c>
      <c r="F337" s="0" t="s">
        <v>2988</v>
      </c>
      <c r="G337" s="0" t="s">
        <v>22</v>
      </c>
      <c r="H337" s="0" t="s">
        <v>22</v>
      </c>
      <c r="I337" s="0" t="s">
        <v>950</v>
      </c>
    </row>
    <row customHeight="1" ht="11.25">
      <c r="A338" s="1856" t="s">
        <v>2485</v>
      </c>
      <c r="B338" s="1856" t="s">
        <v>16</v>
      </c>
      <c r="C338" s="0" t="s">
        <v>2940</v>
      </c>
      <c r="D338" s="0" t="s">
        <v>2646</v>
      </c>
      <c r="E338" s="0" t="s">
        <v>2647</v>
      </c>
      <c r="F338" s="0" t="s">
        <v>2941</v>
      </c>
      <c r="G338" s="0" t="s">
        <v>22</v>
      </c>
      <c r="H338" s="0" t="s">
        <v>22</v>
      </c>
      <c r="I338" s="0" t="s">
        <v>950</v>
      </c>
    </row>
    <row customHeight="1" ht="11.25">
      <c r="A339" s="1856" t="s">
        <v>2485</v>
      </c>
      <c r="B339" s="1856" t="s">
        <v>16</v>
      </c>
      <c r="C339" s="0" t="s">
        <v>2942</v>
      </c>
      <c r="D339" s="0" t="s">
        <v>2646</v>
      </c>
      <c r="E339" s="0" t="s">
        <v>2647</v>
      </c>
      <c r="F339" s="0" t="s">
        <v>2943</v>
      </c>
      <c r="G339" s="0" t="s">
        <v>22</v>
      </c>
      <c r="H339" s="0" t="s">
        <v>22</v>
      </c>
      <c r="I339" s="0" t="s">
        <v>950</v>
      </c>
    </row>
    <row customHeight="1" ht="11.25">
      <c r="A340" s="1856" t="s">
        <v>2485</v>
      </c>
      <c r="B340" s="1856" t="s">
        <v>16</v>
      </c>
      <c r="C340" s="0" t="s">
        <v>2944</v>
      </c>
      <c r="D340" s="0" t="s">
        <v>2646</v>
      </c>
      <c r="E340" s="0" t="s">
        <v>2647</v>
      </c>
      <c r="F340" s="0" t="s">
        <v>2945</v>
      </c>
      <c r="G340" s="0" t="s">
        <v>22</v>
      </c>
      <c r="H340" s="0" t="s">
        <v>22</v>
      </c>
      <c r="I340" s="0" t="s">
        <v>950</v>
      </c>
    </row>
    <row customHeight="1" ht="11.25">
      <c r="A341" s="1856" t="s">
        <v>2485</v>
      </c>
      <c r="B341" s="1856" t="s">
        <v>16</v>
      </c>
      <c r="C341" s="0" t="s">
        <v>2946</v>
      </c>
      <c r="D341" s="0" t="s">
        <v>2646</v>
      </c>
      <c r="E341" s="0" t="s">
        <v>2647</v>
      </c>
      <c r="F341" s="0" t="s">
        <v>2947</v>
      </c>
      <c r="G341" s="0" t="s">
        <v>22</v>
      </c>
      <c r="H341" s="0" t="s">
        <v>22</v>
      </c>
      <c r="I341" s="0" t="s">
        <v>950</v>
      </c>
    </row>
    <row customHeight="1" ht="11.25">
      <c r="A342" s="1856" t="s">
        <v>2485</v>
      </c>
      <c r="B342" s="1856" t="s">
        <v>16</v>
      </c>
      <c r="C342" s="0" t="s">
        <v>2948</v>
      </c>
      <c r="D342" s="0" t="s">
        <v>2646</v>
      </c>
      <c r="E342" s="0" t="s">
        <v>2647</v>
      </c>
      <c r="F342" s="0" t="s">
        <v>2949</v>
      </c>
      <c r="G342" s="0" t="s">
        <v>22</v>
      </c>
      <c r="H342" s="0" t="s">
        <v>22</v>
      </c>
      <c r="I342" s="0" t="s">
        <v>950</v>
      </c>
    </row>
    <row customHeight="1" ht="11.25">
      <c r="A343" s="1856" t="s">
        <v>2485</v>
      </c>
      <c r="B343" s="1856" t="s">
        <v>16</v>
      </c>
      <c r="C343" s="0" t="s">
        <v>2645</v>
      </c>
      <c r="D343" s="0" t="s">
        <v>2646</v>
      </c>
      <c r="E343" s="0" t="s">
        <v>2647</v>
      </c>
      <c r="F343" s="0" t="s">
        <v>2644</v>
      </c>
      <c r="G343" s="0" t="s">
        <v>22</v>
      </c>
      <c r="H343" s="0" t="s">
        <v>22</v>
      </c>
      <c r="I343" s="0" t="s">
        <v>950</v>
      </c>
    </row>
    <row customHeight="1" ht="11.25">
      <c r="A344" s="1856" t="s">
        <v>2485</v>
      </c>
      <c r="B344" s="1856" t="s">
        <v>16</v>
      </c>
      <c r="C344" s="0" t="s">
        <v>2989</v>
      </c>
      <c r="D344" s="0" t="s">
        <v>2990</v>
      </c>
      <c r="E344" s="0" t="s">
        <v>2991</v>
      </c>
      <c r="F344" s="0" t="s">
        <v>2525</v>
      </c>
      <c r="G344" s="0" t="s">
        <v>22</v>
      </c>
      <c r="H344" s="0" t="s">
        <v>22</v>
      </c>
      <c r="I344" s="0" t="s">
        <v>950</v>
      </c>
    </row>
    <row customHeight="1" ht="11.25">
      <c r="A345" s="1856" t="s">
        <v>2485</v>
      </c>
      <c r="B345" s="1856" t="s">
        <v>16</v>
      </c>
      <c r="C345" s="0" t="s">
        <v>2992</v>
      </c>
      <c r="D345" s="0" t="s">
        <v>2990</v>
      </c>
      <c r="E345" s="0" t="s">
        <v>2991</v>
      </c>
      <c r="F345" s="0" t="s">
        <v>2993</v>
      </c>
      <c r="G345" s="0" t="s">
        <v>22</v>
      </c>
      <c r="H345" s="0" t="s">
        <v>22</v>
      </c>
      <c r="I345" s="0" t="s">
        <v>950</v>
      </c>
    </row>
    <row customHeight="1" ht="11.25">
      <c r="A346" s="1856" t="s">
        <v>2485</v>
      </c>
      <c r="B346" s="1856" t="s">
        <v>16</v>
      </c>
      <c r="C346" s="0" t="s">
        <v>2994</v>
      </c>
      <c r="D346" s="0" t="s">
        <v>2951</v>
      </c>
      <c r="E346" s="0" t="s">
        <v>2647</v>
      </c>
      <c r="F346" s="0" t="s">
        <v>2995</v>
      </c>
      <c r="G346" s="0" t="s">
        <v>22</v>
      </c>
      <c r="H346" s="0" t="s">
        <v>22</v>
      </c>
      <c r="I346" s="0" t="s">
        <v>950</v>
      </c>
    </row>
    <row customHeight="1" ht="11.25">
      <c r="A347" s="1856" t="s">
        <v>2485</v>
      </c>
      <c r="B347" s="1856" t="s">
        <v>16</v>
      </c>
      <c r="C347" s="0" t="s">
        <v>2950</v>
      </c>
      <c r="D347" s="0" t="s">
        <v>2951</v>
      </c>
      <c r="E347" s="0" t="s">
        <v>2647</v>
      </c>
      <c r="F347" s="0" t="s">
        <v>2952</v>
      </c>
      <c r="G347" s="0" t="s">
        <v>22</v>
      </c>
      <c r="H347" s="0" t="s">
        <v>22</v>
      </c>
      <c r="I347" s="0" t="s">
        <v>950</v>
      </c>
    </row>
    <row customHeight="1" ht="11.25">
      <c r="A348" s="1856" t="s">
        <v>2485</v>
      </c>
      <c r="B348" s="1856" t="s">
        <v>16</v>
      </c>
      <c r="C348" s="0" t="s">
        <v>3270</v>
      </c>
      <c r="D348" s="0" t="s">
        <v>3271</v>
      </c>
      <c r="E348" s="0" t="s">
        <v>3272</v>
      </c>
      <c r="F348" s="0" t="s">
        <v>2759</v>
      </c>
      <c r="G348" s="0" t="s">
        <v>3273</v>
      </c>
      <c r="H348" s="0" t="s">
        <v>22</v>
      </c>
      <c r="I348" s="0" t="s">
        <v>950</v>
      </c>
    </row>
    <row customHeight="1" ht="11.25">
      <c r="A349" s="1856" t="s">
        <v>2485</v>
      </c>
      <c r="B349" s="1856" t="s">
        <v>16</v>
      </c>
      <c r="C349" s="0" t="s">
        <v>2999</v>
      </c>
      <c r="D349" s="0" t="s">
        <v>3000</v>
      </c>
      <c r="E349" s="0" t="s">
        <v>3001</v>
      </c>
      <c r="F349" s="0" t="s">
        <v>2537</v>
      </c>
      <c r="G349" s="0" t="s">
        <v>3002</v>
      </c>
      <c r="H349" s="0" t="s">
        <v>22</v>
      </c>
      <c r="I349" s="0" t="s">
        <v>950</v>
      </c>
    </row>
    <row customHeight="1" ht="11.25">
      <c r="A350" s="1856" t="s">
        <v>2485</v>
      </c>
      <c r="B350" s="1856" t="s">
        <v>16</v>
      </c>
      <c r="C350" s="0" t="s">
        <v>3003</v>
      </c>
      <c r="D350" s="0" t="s">
        <v>3004</v>
      </c>
      <c r="E350" s="0" t="s">
        <v>3005</v>
      </c>
      <c r="F350" s="0" t="s">
        <v>2728</v>
      </c>
      <c r="G350" s="0" t="s">
        <v>22</v>
      </c>
      <c r="H350" s="0" t="s">
        <v>22</v>
      </c>
      <c r="I350" s="0" t="s">
        <v>950</v>
      </c>
    </row>
    <row customHeight="1" ht="11.25">
      <c r="A351" s="1856" t="s">
        <v>2485</v>
      </c>
      <c r="B351" s="1856" t="s">
        <v>16</v>
      </c>
      <c r="C351" s="0" t="s">
        <v>3006</v>
      </c>
      <c r="D351" s="0" t="s">
        <v>3007</v>
      </c>
      <c r="E351" s="0" t="s">
        <v>3008</v>
      </c>
      <c r="F351" s="0" t="s">
        <v>2841</v>
      </c>
      <c r="G351" s="0" t="s">
        <v>22</v>
      </c>
      <c r="H351" s="0" t="s">
        <v>22</v>
      </c>
      <c r="I351" s="0" t="s">
        <v>950</v>
      </c>
    </row>
    <row customHeight="1" ht="11.25">
      <c r="A352" s="1856" t="s">
        <v>2485</v>
      </c>
      <c r="B352" s="1856" t="s">
        <v>16</v>
      </c>
      <c r="C352" s="0" t="s">
        <v>3009</v>
      </c>
      <c r="D352" s="0" t="s">
        <v>3010</v>
      </c>
      <c r="E352" s="0" t="s">
        <v>3011</v>
      </c>
      <c r="F352" s="0" t="s">
        <v>2558</v>
      </c>
      <c r="G352" s="0" t="s">
        <v>22</v>
      </c>
      <c r="H352" s="0" t="s">
        <v>22</v>
      </c>
      <c r="I352" s="0" t="s">
        <v>950</v>
      </c>
    </row>
    <row customHeight="1" ht="11.25">
      <c r="A353" s="1856" t="s">
        <v>2485</v>
      </c>
      <c r="B353" s="1856" t="s">
        <v>16</v>
      </c>
      <c r="C353" s="0" t="s">
        <v>3012</v>
      </c>
      <c r="D353" s="0" t="s">
        <v>3013</v>
      </c>
      <c r="E353" s="0" t="s">
        <v>3014</v>
      </c>
      <c r="F353" s="0" t="s">
        <v>2655</v>
      </c>
      <c r="G353" s="0" t="s">
        <v>22</v>
      </c>
      <c r="H353" s="0" t="s">
        <v>22</v>
      </c>
      <c r="I353" s="0" t="s">
        <v>950</v>
      </c>
    </row>
    <row customHeight="1" ht="11.25">
      <c r="A354" s="1856" t="s">
        <v>2485</v>
      </c>
      <c r="B354" s="1856" t="s">
        <v>16</v>
      </c>
      <c r="C354" s="0" t="s">
        <v>3019</v>
      </c>
      <c r="D354" s="0" t="s">
        <v>3020</v>
      </c>
      <c r="E354" s="0" t="s">
        <v>3021</v>
      </c>
      <c r="F354" s="0" t="s">
        <v>2558</v>
      </c>
      <c r="G354" s="0" t="s">
        <v>22</v>
      </c>
      <c r="H354" s="0" t="s">
        <v>3022</v>
      </c>
      <c r="I354" s="0" t="s">
        <v>950</v>
      </c>
    </row>
    <row customHeight="1" ht="11.25">
      <c r="A355" s="1856" t="s">
        <v>2485</v>
      </c>
      <c r="B355" s="1856" t="s">
        <v>16</v>
      </c>
      <c r="C355" s="0" t="s">
        <v>2652</v>
      </c>
      <c r="D355" s="0" t="s">
        <v>2653</v>
      </c>
      <c r="E355" s="0" t="s">
        <v>2654</v>
      </c>
      <c r="F355" s="0" t="s">
        <v>2655</v>
      </c>
      <c r="G355" s="0" t="s">
        <v>22</v>
      </c>
      <c r="H355" s="0" t="s">
        <v>22</v>
      </c>
      <c r="I355" s="0" t="s">
        <v>950</v>
      </c>
    </row>
    <row customHeight="1" ht="11.25">
      <c r="A356" s="1856" t="s">
        <v>2485</v>
      </c>
      <c r="B356" s="1856" t="s">
        <v>16</v>
      </c>
      <c r="C356" s="0" t="s">
        <v>3023</v>
      </c>
      <c r="D356" s="0" t="s">
        <v>3024</v>
      </c>
      <c r="E356" s="0" t="s">
        <v>3025</v>
      </c>
      <c r="F356" s="0" t="s">
        <v>2672</v>
      </c>
      <c r="G356" s="0" t="s">
        <v>3026</v>
      </c>
      <c r="H356" s="0" t="s">
        <v>22</v>
      </c>
      <c r="I356" s="0" t="s">
        <v>950</v>
      </c>
    </row>
    <row customHeight="1" ht="11.25">
      <c r="A357" s="1856" t="s">
        <v>2485</v>
      </c>
      <c r="B357" s="1856" t="s">
        <v>16</v>
      </c>
      <c r="C357" s="0" t="s">
        <v>3027</v>
      </c>
      <c r="D357" s="0" t="s">
        <v>3028</v>
      </c>
      <c r="E357" s="0" t="s">
        <v>3029</v>
      </c>
      <c r="F357" s="0" t="s">
        <v>3030</v>
      </c>
      <c r="G357" s="0" t="s">
        <v>22</v>
      </c>
      <c r="H357" s="0" t="s">
        <v>22</v>
      </c>
      <c r="I357" s="0" t="s">
        <v>950</v>
      </c>
    </row>
    <row customHeight="1" ht="11.25">
      <c r="A358" s="1856" t="s">
        <v>2485</v>
      </c>
      <c r="B358" s="1856" t="s">
        <v>16</v>
      </c>
      <c r="C358" s="0" t="s">
        <v>3031</v>
      </c>
      <c r="D358" s="0" t="s">
        <v>3032</v>
      </c>
      <c r="E358" s="0" t="s">
        <v>3033</v>
      </c>
      <c r="F358" s="0" t="s">
        <v>2537</v>
      </c>
      <c r="G358" s="0" t="s">
        <v>3034</v>
      </c>
      <c r="H358" s="0" t="s">
        <v>22</v>
      </c>
      <c r="I358" s="0" t="s">
        <v>950</v>
      </c>
    </row>
    <row customHeight="1" ht="11.25">
      <c r="A359" s="1856" t="s">
        <v>2485</v>
      </c>
      <c r="B359" s="1856" t="s">
        <v>16</v>
      </c>
      <c r="C359" s="0" t="s">
        <v>3035</v>
      </c>
      <c r="D359" s="0" t="s">
        <v>3036</v>
      </c>
      <c r="E359" s="0" t="s">
        <v>3037</v>
      </c>
      <c r="F359" s="0" t="s">
        <v>2537</v>
      </c>
      <c r="G359" s="0" t="s">
        <v>3038</v>
      </c>
      <c r="H359" s="0" t="s">
        <v>22</v>
      </c>
      <c r="I359" s="0" t="s">
        <v>950</v>
      </c>
    </row>
    <row customHeight="1" ht="11.25">
      <c r="A360" s="1856" t="s">
        <v>2485</v>
      </c>
      <c r="B360" s="1856" t="s">
        <v>16</v>
      </c>
      <c r="C360" s="0" t="s">
        <v>2659</v>
      </c>
      <c r="D360" s="0" t="s">
        <v>2660</v>
      </c>
      <c r="E360" s="0" t="s">
        <v>2661</v>
      </c>
      <c r="F360" s="0" t="s">
        <v>2662</v>
      </c>
      <c r="G360" s="0" t="s">
        <v>22</v>
      </c>
      <c r="H360" s="0" t="s">
        <v>22</v>
      </c>
      <c r="I360" s="0" t="s">
        <v>950</v>
      </c>
    </row>
    <row customHeight="1" ht="11.25">
      <c r="A361" s="1856" t="s">
        <v>2485</v>
      </c>
      <c r="B361" s="1856" t="s">
        <v>16</v>
      </c>
      <c r="C361" s="0" t="s">
        <v>3274</v>
      </c>
      <c r="D361" s="0" t="s">
        <v>3275</v>
      </c>
      <c r="E361" s="0" t="s">
        <v>3276</v>
      </c>
      <c r="F361" s="0" t="s">
        <v>2672</v>
      </c>
      <c r="G361" s="0" t="s">
        <v>22</v>
      </c>
      <c r="H361" s="0" t="s">
        <v>22</v>
      </c>
      <c r="I361" s="0" t="s">
        <v>950</v>
      </c>
    </row>
    <row customHeight="1" ht="11.25">
      <c r="A362" s="1856" t="s">
        <v>2485</v>
      </c>
      <c r="B362" s="1856" t="s">
        <v>16</v>
      </c>
      <c r="C362" s="0" t="s">
        <v>2663</v>
      </c>
      <c r="D362" s="0" t="s">
        <v>2664</v>
      </c>
      <c r="E362" s="0" t="s">
        <v>2665</v>
      </c>
      <c r="F362" s="0" t="s">
        <v>2533</v>
      </c>
      <c r="G362" s="0" t="s">
        <v>22</v>
      </c>
      <c r="H362" s="0" t="s">
        <v>22</v>
      </c>
      <c r="I362" s="0" t="s">
        <v>950</v>
      </c>
    </row>
    <row customHeight="1" ht="11.25">
      <c r="A363" s="1856" t="s">
        <v>2485</v>
      </c>
      <c r="B363" s="1856" t="s">
        <v>16</v>
      </c>
      <c r="C363" s="0" t="s">
        <v>2666</v>
      </c>
      <c r="D363" s="0" t="s">
        <v>2667</v>
      </c>
      <c r="E363" s="0" t="s">
        <v>2668</v>
      </c>
      <c r="F363" s="0" t="s">
        <v>2533</v>
      </c>
      <c r="G363" s="0" t="s">
        <v>22</v>
      </c>
      <c r="H363" s="0" t="s">
        <v>22</v>
      </c>
      <c r="I363" s="0" t="s">
        <v>950</v>
      </c>
    </row>
    <row customHeight="1" ht="11.25">
      <c r="A364" s="1856" t="s">
        <v>2485</v>
      </c>
      <c r="B364" s="1856" t="s">
        <v>16</v>
      </c>
      <c r="C364" s="0" t="s">
        <v>2669</v>
      </c>
      <c r="D364" s="0" t="s">
        <v>2670</v>
      </c>
      <c r="E364" s="0" t="s">
        <v>2671</v>
      </c>
      <c r="F364" s="0" t="s">
        <v>2672</v>
      </c>
      <c r="G364" s="0" t="s">
        <v>22</v>
      </c>
      <c r="H364" s="0" t="s">
        <v>22</v>
      </c>
      <c r="I364" s="0" t="s">
        <v>950</v>
      </c>
    </row>
    <row customHeight="1" ht="11.25">
      <c r="A365" s="1856" t="s">
        <v>2485</v>
      </c>
      <c r="B365" s="1856" t="s">
        <v>16</v>
      </c>
      <c r="C365" s="0" t="s">
        <v>3039</v>
      </c>
      <c r="D365" s="0" t="s">
        <v>3040</v>
      </c>
      <c r="E365" s="0" t="s">
        <v>3041</v>
      </c>
      <c r="F365" s="0" t="s">
        <v>2603</v>
      </c>
      <c r="G365" s="0" t="s">
        <v>22</v>
      </c>
      <c r="H365" s="0" t="s">
        <v>22</v>
      </c>
      <c r="I365" s="0" t="s">
        <v>950</v>
      </c>
    </row>
    <row customHeight="1" ht="11.25">
      <c r="A366" s="1856" t="s">
        <v>2485</v>
      </c>
      <c r="B366" s="1856" t="s">
        <v>16</v>
      </c>
      <c r="C366" s="0" t="s">
        <v>3042</v>
      </c>
      <c r="D366" s="0" t="s">
        <v>3043</v>
      </c>
      <c r="E366" s="0" t="s">
        <v>3044</v>
      </c>
      <c r="F366" s="0" t="s">
        <v>2566</v>
      </c>
      <c r="G366" s="0" t="s">
        <v>3045</v>
      </c>
      <c r="H366" s="0" t="s">
        <v>22</v>
      </c>
      <c r="I366" s="0" t="s">
        <v>950</v>
      </c>
    </row>
    <row customHeight="1" ht="11.25">
      <c r="A367" s="1856" t="s">
        <v>2485</v>
      </c>
      <c r="B367" s="1856" t="s">
        <v>16</v>
      </c>
      <c r="C367" s="0" t="s">
        <v>3046</v>
      </c>
      <c r="D367" s="0" t="s">
        <v>3047</v>
      </c>
      <c r="E367" s="0" t="s">
        <v>3048</v>
      </c>
      <c r="F367" s="0" t="s">
        <v>2626</v>
      </c>
      <c r="G367" s="0" t="s">
        <v>3049</v>
      </c>
      <c r="H367" s="0" t="s">
        <v>22</v>
      </c>
      <c r="I367" s="0" t="s">
        <v>950</v>
      </c>
    </row>
    <row customHeight="1" ht="11.25">
      <c r="A368" s="1856" t="s">
        <v>2485</v>
      </c>
      <c r="B368" s="1856" t="s">
        <v>16</v>
      </c>
      <c r="C368" s="0" t="s">
        <v>2673</v>
      </c>
      <c r="D368" s="0" t="s">
        <v>2674</v>
      </c>
      <c r="E368" s="0" t="s">
        <v>2675</v>
      </c>
      <c r="F368" s="0" t="s">
        <v>2537</v>
      </c>
      <c r="G368" s="0" t="s">
        <v>22</v>
      </c>
      <c r="H368" s="0" t="s">
        <v>22</v>
      </c>
      <c r="I368" s="0" t="s">
        <v>950</v>
      </c>
    </row>
    <row customHeight="1" ht="11.25">
      <c r="A369" s="1856" t="s">
        <v>2485</v>
      </c>
      <c r="B369" s="1856" t="s">
        <v>16</v>
      </c>
      <c r="C369" s="0" t="s">
        <v>3050</v>
      </c>
      <c r="D369" s="0" t="s">
        <v>3051</v>
      </c>
      <c r="E369" s="0" t="s">
        <v>3052</v>
      </c>
      <c r="F369" s="0" t="s">
        <v>3018</v>
      </c>
      <c r="G369" s="0" t="s">
        <v>22</v>
      </c>
      <c r="H369" s="0" t="s">
        <v>22</v>
      </c>
      <c r="I369" s="0" t="s">
        <v>950</v>
      </c>
    </row>
    <row customHeight="1" ht="11.25">
      <c r="A370" s="1856" t="s">
        <v>2485</v>
      </c>
      <c r="B370" s="1856" t="s">
        <v>16</v>
      </c>
      <c r="C370" s="0" t="s">
        <v>2676</v>
      </c>
      <c r="D370" s="0" t="s">
        <v>2677</v>
      </c>
      <c r="E370" s="0" t="s">
        <v>2678</v>
      </c>
      <c r="F370" s="0" t="s">
        <v>2662</v>
      </c>
      <c r="G370" s="0" t="s">
        <v>22</v>
      </c>
      <c r="H370" s="0" t="s">
        <v>22</v>
      </c>
      <c r="I370" s="0" t="s">
        <v>950</v>
      </c>
    </row>
    <row customHeight="1" ht="11.25">
      <c r="A371" s="1856" t="s">
        <v>2485</v>
      </c>
      <c r="B371" s="1856" t="s">
        <v>16</v>
      </c>
      <c r="C371" s="0" t="s">
        <v>3053</v>
      </c>
      <c r="D371" s="0" t="s">
        <v>3054</v>
      </c>
      <c r="E371" s="0" t="s">
        <v>3055</v>
      </c>
      <c r="F371" s="0" t="s">
        <v>2566</v>
      </c>
      <c r="G371" s="0" t="s">
        <v>22</v>
      </c>
      <c r="H371" s="0" t="s">
        <v>22</v>
      </c>
      <c r="I371" s="0" t="s">
        <v>950</v>
      </c>
    </row>
    <row customHeight="1" ht="11.25">
      <c r="A372" s="1856" t="s">
        <v>2485</v>
      </c>
      <c r="B372" s="1856" t="s">
        <v>16</v>
      </c>
      <c r="C372" s="0" t="s">
        <v>3056</v>
      </c>
      <c r="D372" s="0" t="s">
        <v>3057</v>
      </c>
      <c r="E372" s="0" t="s">
        <v>3058</v>
      </c>
      <c r="F372" s="0" t="s">
        <v>2930</v>
      </c>
      <c r="G372" s="0" t="s">
        <v>22</v>
      </c>
      <c r="H372" s="0" t="s">
        <v>22</v>
      </c>
      <c r="I372" s="0" t="s">
        <v>950</v>
      </c>
    </row>
    <row customHeight="1" ht="11.25">
      <c r="A373" s="1856" t="s">
        <v>2485</v>
      </c>
      <c r="B373" s="1856" t="s">
        <v>16</v>
      </c>
      <c r="C373" s="0" t="s">
        <v>3059</v>
      </c>
      <c r="D373" s="0" t="s">
        <v>3060</v>
      </c>
      <c r="E373" s="0" t="s">
        <v>3061</v>
      </c>
      <c r="F373" s="0" t="s">
        <v>2492</v>
      </c>
      <c r="G373" s="0" t="s">
        <v>22</v>
      </c>
      <c r="H373" s="0" t="s">
        <v>22</v>
      </c>
      <c r="I373" s="0" t="s">
        <v>950</v>
      </c>
    </row>
    <row customHeight="1" ht="11.25">
      <c r="A374" s="1856" t="s">
        <v>2485</v>
      </c>
      <c r="B374" s="1856" t="s">
        <v>16</v>
      </c>
      <c r="C374" s="0" t="s">
        <v>2679</v>
      </c>
      <c r="D374" s="0" t="s">
        <v>2680</v>
      </c>
      <c r="E374" s="0" t="s">
        <v>2681</v>
      </c>
      <c r="F374" s="0" t="s">
        <v>2682</v>
      </c>
      <c r="G374" s="0" t="s">
        <v>22</v>
      </c>
      <c r="H374" s="0" t="s">
        <v>22</v>
      </c>
      <c r="I374" s="0" t="s">
        <v>950</v>
      </c>
    </row>
    <row customHeight="1" ht="11.25">
      <c r="A375" s="1856" t="s">
        <v>2485</v>
      </c>
      <c r="B375" s="1856" t="s">
        <v>16</v>
      </c>
      <c r="C375" s="0" t="s">
        <v>3062</v>
      </c>
      <c r="D375" s="0" t="s">
        <v>3063</v>
      </c>
      <c r="E375" s="0" t="s">
        <v>3064</v>
      </c>
      <c r="F375" s="0" t="s">
        <v>2930</v>
      </c>
      <c r="G375" s="0" t="s">
        <v>22</v>
      </c>
      <c r="H375" s="0" t="s">
        <v>22</v>
      </c>
      <c r="I375" s="0" t="s">
        <v>950</v>
      </c>
    </row>
    <row customHeight="1" ht="11.25">
      <c r="A376" s="1856" t="s">
        <v>2485</v>
      </c>
      <c r="B376" s="1856" t="s">
        <v>16</v>
      </c>
      <c r="C376" s="0" t="s">
        <v>2683</v>
      </c>
      <c r="D376" s="0" t="s">
        <v>2684</v>
      </c>
      <c r="E376" s="0" t="s">
        <v>2685</v>
      </c>
      <c r="F376" s="0" t="s">
        <v>2644</v>
      </c>
      <c r="G376" s="0" t="s">
        <v>22</v>
      </c>
      <c r="H376" s="0" t="s">
        <v>2506</v>
      </c>
      <c r="I376" s="0" t="s">
        <v>950</v>
      </c>
    </row>
    <row customHeight="1" ht="11.25">
      <c r="A377" s="1856" t="s">
        <v>2485</v>
      </c>
      <c r="B377" s="1856" t="s">
        <v>16</v>
      </c>
      <c r="C377" s="0" t="s">
        <v>2693</v>
      </c>
      <c r="D377" s="0" t="s">
        <v>2694</v>
      </c>
      <c r="E377" s="0" t="s">
        <v>2695</v>
      </c>
      <c r="F377" s="0" t="s">
        <v>2696</v>
      </c>
      <c r="G377" s="0" t="s">
        <v>22</v>
      </c>
      <c r="H377" s="0" t="s">
        <v>22</v>
      </c>
      <c r="I377" s="0" t="s">
        <v>950</v>
      </c>
    </row>
    <row customHeight="1" ht="11.25">
      <c r="A378" s="1856" t="s">
        <v>2485</v>
      </c>
      <c r="B378" s="1856" t="s">
        <v>16</v>
      </c>
      <c r="C378" s="0" t="s">
        <v>3277</v>
      </c>
      <c r="D378" s="0" t="s">
        <v>3278</v>
      </c>
      <c r="E378" s="0" t="s">
        <v>3279</v>
      </c>
      <c r="F378" s="0" t="s">
        <v>2558</v>
      </c>
      <c r="G378" s="0" t="s">
        <v>22</v>
      </c>
      <c r="H378" s="0" t="s">
        <v>22</v>
      </c>
      <c r="I378" s="0" t="s">
        <v>950</v>
      </c>
    </row>
    <row customHeight="1" ht="11.25">
      <c r="A379" s="1856" t="s">
        <v>2485</v>
      </c>
      <c r="B379" s="1856" t="s">
        <v>16</v>
      </c>
      <c r="C379" s="0" t="s">
        <v>2710</v>
      </c>
      <c r="D379" s="0" t="s">
        <v>2711</v>
      </c>
      <c r="E379" s="0" t="s">
        <v>2712</v>
      </c>
      <c r="F379" s="0" t="s">
        <v>2533</v>
      </c>
      <c r="G379" s="0" t="s">
        <v>22</v>
      </c>
      <c r="H379" s="0" t="s">
        <v>22</v>
      </c>
      <c r="I379" s="0" t="s">
        <v>950</v>
      </c>
    </row>
    <row customHeight="1" ht="11.25">
      <c r="A380" s="1856" t="s">
        <v>2485</v>
      </c>
      <c r="B380" s="1856" t="s">
        <v>16</v>
      </c>
      <c r="C380" s="0" t="s">
        <v>3071</v>
      </c>
      <c r="D380" s="0" t="s">
        <v>3072</v>
      </c>
      <c r="E380" s="0" t="s">
        <v>3073</v>
      </c>
      <c r="F380" s="0" t="s">
        <v>2549</v>
      </c>
      <c r="G380" s="0" t="s">
        <v>3074</v>
      </c>
      <c r="H380" s="0" t="s">
        <v>22</v>
      </c>
      <c r="I380" s="0" t="s">
        <v>950</v>
      </c>
    </row>
    <row customHeight="1" ht="11.25">
      <c r="A381" s="1856" t="s">
        <v>2485</v>
      </c>
      <c r="B381" s="1856" t="s">
        <v>16</v>
      </c>
      <c r="C381" s="0" t="s">
        <v>3075</v>
      </c>
      <c r="D381" s="0" t="s">
        <v>3076</v>
      </c>
      <c r="E381" s="0" t="s">
        <v>3077</v>
      </c>
      <c r="F381" s="0" t="s">
        <v>2500</v>
      </c>
      <c r="G381" s="0" t="s">
        <v>3078</v>
      </c>
      <c r="H381" s="0" t="s">
        <v>22</v>
      </c>
      <c r="I381" s="0" t="s">
        <v>950</v>
      </c>
    </row>
    <row customHeight="1" ht="11.25">
      <c r="A382" s="1856" t="s">
        <v>2485</v>
      </c>
      <c r="B382" s="1856" t="s">
        <v>16</v>
      </c>
      <c r="C382" s="0" t="s">
        <v>3280</v>
      </c>
      <c r="D382" s="0" t="s">
        <v>3281</v>
      </c>
      <c r="E382" s="0" t="s">
        <v>3282</v>
      </c>
      <c r="F382" s="0" t="s">
        <v>2492</v>
      </c>
      <c r="G382" s="0" t="s">
        <v>3283</v>
      </c>
      <c r="H382" s="0" t="s">
        <v>22</v>
      </c>
      <c r="I382" s="0" t="s">
        <v>950</v>
      </c>
    </row>
    <row customHeight="1" ht="11.25">
      <c r="A383" s="1856" t="s">
        <v>2485</v>
      </c>
      <c r="B383" s="1856" t="s">
        <v>16</v>
      </c>
      <c r="C383" s="0" t="s">
        <v>3079</v>
      </c>
      <c r="D383" s="0" t="s">
        <v>3080</v>
      </c>
      <c r="E383" s="0" t="s">
        <v>3081</v>
      </c>
      <c r="F383" s="0" t="s">
        <v>3082</v>
      </c>
      <c r="G383" s="0" t="s">
        <v>22</v>
      </c>
      <c r="H383" s="0" t="s">
        <v>22</v>
      </c>
      <c r="I383" s="0" t="s">
        <v>950</v>
      </c>
    </row>
    <row customHeight="1" ht="11.25">
      <c r="A384" s="1856" t="s">
        <v>2485</v>
      </c>
      <c r="B384" s="1856" t="s">
        <v>16</v>
      </c>
      <c r="C384" s="0" t="s">
        <v>3087</v>
      </c>
      <c r="D384" s="0" t="s">
        <v>3088</v>
      </c>
      <c r="E384" s="0" t="s">
        <v>3089</v>
      </c>
      <c r="F384" s="0" t="s">
        <v>2525</v>
      </c>
      <c r="G384" s="0" t="s">
        <v>22</v>
      </c>
      <c r="H384" s="0" t="s">
        <v>22</v>
      </c>
      <c r="I384" s="0" t="s">
        <v>950</v>
      </c>
    </row>
    <row customHeight="1" ht="11.25">
      <c r="A385" s="1856" t="s">
        <v>2485</v>
      </c>
      <c r="B385" s="1856" t="s">
        <v>16</v>
      </c>
      <c r="C385" s="0" t="s">
        <v>3090</v>
      </c>
      <c r="D385" s="0" t="s">
        <v>3091</v>
      </c>
      <c r="E385" s="0" t="s">
        <v>3092</v>
      </c>
      <c r="F385" s="0" t="s">
        <v>3093</v>
      </c>
      <c r="G385" s="0" t="s">
        <v>22</v>
      </c>
      <c r="H385" s="0" t="s">
        <v>22</v>
      </c>
      <c r="I385" s="0" t="s">
        <v>950</v>
      </c>
    </row>
    <row customHeight="1" ht="11.25">
      <c r="A386" s="1856" t="s">
        <v>2485</v>
      </c>
      <c r="B386" s="1856" t="s">
        <v>16</v>
      </c>
      <c r="C386" s="0" t="s">
        <v>3094</v>
      </c>
      <c r="D386" s="0" t="s">
        <v>3095</v>
      </c>
      <c r="E386" s="0" t="s">
        <v>3096</v>
      </c>
      <c r="F386" s="0" t="s">
        <v>2903</v>
      </c>
      <c r="G386" s="0" t="s">
        <v>22</v>
      </c>
      <c r="H386" s="0" t="s">
        <v>22</v>
      </c>
      <c r="I386" s="0" t="s">
        <v>950</v>
      </c>
    </row>
    <row customHeight="1" ht="11.25">
      <c r="A387" s="1856" t="s">
        <v>2485</v>
      </c>
      <c r="B387" s="1856" t="s">
        <v>16</v>
      </c>
      <c r="C387" s="0" t="s">
        <v>3284</v>
      </c>
      <c r="D387" s="0" t="s">
        <v>3285</v>
      </c>
      <c r="E387" s="0" t="s">
        <v>3286</v>
      </c>
      <c r="F387" s="0" t="s">
        <v>2496</v>
      </c>
      <c r="G387" s="0" t="s">
        <v>3086</v>
      </c>
      <c r="H387" s="0" t="s">
        <v>22</v>
      </c>
      <c r="I387" s="0" t="s">
        <v>950</v>
      </c>
    </row>
    <row customHeight="1" ht="11.25">
      <c r="A388" s="1856" t="s">
        <v>2485</v>
      </c>
      <c r="B388" s="1856" t="s">
        <v>16</v>
      </c>
      <c r="C388" s="0" t="s">
        <v>3287</v>
      </c>
      <c r="D388" s="0" t="s">
        <v>3285</v>
      </c>
      <c r="E388" s="0" t="s">
        <v>3288</v>
      </c>
      <c r="F388" s="0" t="s">
        <v>2930</v>
      </c>
      <c r="G388" s="0" t="s">
        <v>3100</v>
      </c>
      <c r="H388" s="0" t="s">
        <v>22</v>
      </c>
      <c r="I388" s="0" t="s">
        <v>950</v>
      </c>
    </row>
    <row customHeight="1" ht="11.25">
      <c r="A389" s="1856" t="s">
        <v>2485</v>
      </c>
      <c r="B389" s="1856" t="s">
        <v>16</v>
      </c>
      <c r="C389" s="0" t="s">
        <v>2725</v>
      </c>
      <c r="D389" s="0" t="s">
        <v>2726</v>
      </c>
      <c r="E389" s="0" t="s">
        <v>2727</v>
      </c>
      <c r="F389" s="0" t="s">
        <v>2728</v>
      </c>
      <c r="G389" s="0" t="s">
        <v>2729</v>
      </c>
      <c r="H389" s="0" t="s">
        <v>2730</v>
      </c>
      <c r="I389" s="0" t="s">
        <v>950</v>
      </c>
    </row>
    <row customHeight="1" ht="11.25">
      <c r="A390" s="1856" t="s">
        <v>2485</v>
      </c>
      <c r="B390" s="1856" t="s">
        <v>16</v>
      </c>
      <c r="C390" s="0" t="s">
        <v>3101</v>
      </c>
      <c r="D390" s="0" t="s">
        <v>3102</v>
      </c>
      <c r="E390" s="0" t="s">
        <v>3103</v>
      </c>
      <c r="F390" s="0" t="s">
        <v>2537</v>
      </c>
      <c r="G390" s="0" t="s">
        <v>22</v>
      </c>
      <c r="H390" s="0" t="s">
        <v>22</v>
      </c>
      <c r="I390" s="0" t="s">
        <v>950</v>
      </c>
    </row>
    <row customHeight="1" ht="11.25">
      <c r="A391" s="1856" t="s">
        <v>2485</v>
      </c>
      <c r="B391" s="1856" t="s">
        <v>16</v>
      </c>
      <c r="C391" s="0" t="s">
        <v>3289</v>
      </c>
      <c r="D391" s="0" t="s">
        <v>3290</v>
      </c>
      <c r="E391" s="0" t="s">
        <v>3291</v>
      </c>
      <c r="F391" s="0" t="s">
        <v>2492</v>
      </c>
      <c r="G391" s="0" t="s">
        <v>22</v>
      </c>
      <c r="H391" s="0" t="s">
        <v>22</v>
      </c>
      <c r="I391" s="0" t="s">
        <v>950</v>
      </c>
    </row>
    <row customHeight="1" ht="11.25">
      <c r="A392" s="1856" t="s">
        <v>2485</v>
      </c>
      <c r="B392" s="1856" t="s">
        <v>16</v>
      </c>
      <c r="C392" s="0" t="s">
        <v>3107</v>
      </c>
      <c r="D392" s="0" t="s">
        <v>3108</v>
      </c>
      <c r="E392" s="0" t="s">
        <v>3109</v>
      </c>
      <c r="F392" s="0" t="s">
        <v>2537</v>
      </c>
      <c r="G392" s="0" t="s">
        <v>3110</v>
      </c>
      <c r="H392" s="0" t="s">
        <v>22</v>
      </c>
      <c r="I392" s="0" t="s">
        <v>950</v>
      </c>
    </row>
    <row customHeight="1" ht="11.25">
      <c r="A393" s="1856" t="s">
        <v>2485</v>
      </c>
      <c r="B393" s="1856" t="s">
        <v>16</v>
      </c>
      <c r="C393" s="0" t="s">
        <v>3111</v>
      </c>
      <c r="D393" s="0" t="s">
        <v>3112</v>
      </c>
      <c r="E393" s="0" t="s">
        <v>3113</v>
      </c>
      <c r="F393" s="0" t="s">
        <v>2488</v>
      </c>
      <c r="G393" s="0" t="s">
        <v>22</v>
      </c>
      <c r="H393" s="0" t="s">
        <v>22</v>
      </c>
      <c r="I393" s="0" t="s">
        <v>950</v>
      </c>
    </row>
    <row customHeight="1" ht="11.25">
      <c r="A394" s="1856" t="s">
        <v>2485</v>
      </c>
      <c r="B394" s="1856" t="s">
        <v>16</v>
      </c>
      <c r="C394" s="0" t="s">
        <v>3114</v>
      </c>
      <c r="D394" s="0" t="s">
        <v>3115</v>
      </c>
      <c r="E394" s="0" t="s">
        <v>3116</v>
      </c>
      <c r="F394" s="0" t="s">
        <v>2492</v>
      </c>
      <c r="G394" s="0" t="s">
        <v>22</v>
      </c>
      <c r="H394" s="0" t="s">
        <v>22</v>
      </c>
      <c r="I394" s="0" t="s">
        <v>950</v>
      </c>
    </row>
    <row customHeight="1" ht="11.25">
      <c r="A395" s="1856" t="s">
        <v>2485</v>
      </c>
      <c r="B395" s="1856" t="s">
        <v>16</v>
      </c>
      <c r="C395" s="0" t="s">
        <v>2743</v>
      </c>
      <c r="D395" s="0" t="s">
        <v>2744</v>
      </c>
      <c r="E395" s="0" t="s">
        <v>2745</v>
      </c>
      <c r="F395" s="0" t="s">
        <v>2728</v>
      </c>
      <c r="G395" s="0" t="s">
        <v>22</v>
      </c>
      <c r="H395" s="0" t="s">
        <v>22</v>
      </c>
      <c r="I395" s="0" t="s">
        <v>950</v>
      </c>
    </row>
    <row customHeight="1" ht="11.25">
      <c r="A396" s="1856" t="s">
        <v>2485</v>
      </c>
      <c r="B396" s="1856" t="s">
        <v>16</v>
      </c>
      <c r="C396" s="0" t="s">
        <v>2749</v>
      </c>
      <c r="D396" s="0" t="s">
        <v>2750</v>
      </c>
      <c r="E396" s="0" t="s">
        <v>2751</v>
      </c>
      <c r="F396" s="0" t="s">
        <v>2728</v>
      </c>
      <c r="G396" s="0" t="s">
        <v>22</v>
      </c>
      <c r="H396" s="0" t="s">
        <v>22</v>
      </c>
      <c r="I396" s="0" t="s">
        <v>950</v>
      </c>
    </row>
    <row customHeight="1" ht="11.25">
      <c r="A397" s="1856" t="s">
        <v>2485</v>
      </c>
      <c r="B397" s="1856" t="s">
        <v>16</v>
      </c>
      <c r="C397" s="0" t="s">
        <v>3117</v>
      </c>
      <c r="D397" s="0" t="s">
        <v>3118</v>
      </c>
      <c r="E397" s="0" t="s">
        <v>3119</v>
      </c>
      <c r="F397" s="0" t="s">
        <v>2728</v>
      </c>
      <c r="G397" s="0" t="s">
        <v>22</v>
      </c>
      <c r="H397" s="0" t="s">
        <v>22</v>
      </c>
      <c r="I397" s="0" t="s">
        <v>950</v>
      </c>
    </row>
    <row customHeight="1" ht="11.25">
      <c r="A398" s="1856" t="s">
        <v>2485</v>
      </c>
      <c r="B398" s="1856" t="s">
        <v>16</v>
      </c>
      <c r="C398" s="0" t="s">
        <v>3120</v>
      </c>
      <c r="D398" s="0" t="s">
        <v>3121</v>
      </c>
      <c r="E398" s="0" t="s">
        <v>3122</v>
      </c>
      <c r="F398" s="0" t="s">
        <v>2682</v>
      </c>
      <c r="G398" s="0" t="s">
        <v>3123</v>
      </c>
      <c r="H398" s="0" t="s">
        <v>22</v>
      </c>
      <c r="I398" s="0" t="s">
        <v>950</v>
      </c>
    </row>
    <row customHeight="1" ht="11.25">
      <c r="A399" s="1856" t="s">
        <v>2485</v>
      </c>
      <c r="B399" s="1856" t="s">
        <v>16</v>
      </c>
      <c r="C399" s="0" t="s">
        <v>3124</v>
      </c>
      <c r="D399" s="0" t="s">
        <v>3125</v>
      </c>
      <c r="E399" s="0" t="s">
        <v>3126</v>
      </c>
      <c r="F399" s="0" t="s">
        <v>2492</v>
      </c>
      <c r="G399" s="0" t="s">
        <v>3127</v>
      </c>
      <c r="H399" s="0" t="s">
        <v>3128</v>
      </c>
      <c r="I399" s="0" t="s">
        <v>950</v>
      </c>
    </row>
    <row customHeight="1" ht="11.25">
      <c r="A400" s="1856" t="s">
        <v>2485</v>
      </c>
      <c r="B400" s="1856" t="s">
        <v>16</v>
      </c>
      <c r="C400" s="0" t="s">
        <v>3129</v>
      </c>
      <c r="D400" s="0" t="s">
        <v>3130</v>
      </c>
      <c r="E400" s="0" t="s">
        <v>3131</v>
      </c>
      <c r="F400" s="0" t="s">
        <v>2634</v>
      </c>
      <c r="G400" s="0" t="s">
        <v>22</v>
      </c>
      <c r="H400" s="0" t="s">
        <v>22</v>
      </c>
      <c r="I400" s="0" t="s">
        <v>950</v>
      </c>
    </row>
    <row customHeight="1" ht="11.25">
      <c r="A401" s="1856" t="s">
        <v>2485</v>
      </c>
      <c r="B401" s="1856" t="s">
        <v>16</v>
      </c>
      <c r="C401" s="0" t="s">
        <v>3132</v>
      </c>
      <c r="D401" s="0" t="s">
        <v>3133</v>
      </c>
      <c r="E401" s="0" t="s">
        <v>3134</v>
      </c>
      <c r="F401" s="0" t="s">
        <v>2930</v>
      </c>
      <c r="G401" s="0" t="s">
        <v>3135</v>
      </c>
      <c r="H401" s="0" t="s">
        <v>22</v>
      </c>
      <c r="I401" s="0" t="s">
        <v>950</v>
      </c>
    </row>
    <row customHeight="1" ht="11.25">
      <c r="A402" s="1856" t="s">
        <v>2485</v>
      </c>
      <c r="B402" s="1856" t="s">
        <v>16</v>
      </c>
      <c r="C402" s="0" t="s">
        <v>3136</v>
      </c>
      <c r="D402" s="0" t="s">
        <v>3137</v>
      </c>
      <c r="E402" s="0" t="s">
        <v>3138</v>
      </c>
      <c r="F402" s="0" t="s">
        <v>2558</v>
      </c>
      <c r="G402" s="0" t="s">
        <v>3139</v>
      </c>
      <c r="H402" s="0" t="s">
        <v>22</v>
      </c>
      <c r="I402" s="0" t="s">
        <v>950</v>
      </c>
    </row>
    <row customHeight="1" ht="11.25">
      <c r="A403" s="1856" t="s">
        <v>2485</v>
      </c>
      <c r="B403" s="1856" t="s">
        <v>16</v>
      </c>
      <c r="C403" s="0" t="s">
        <v>3292</v>
      </c>
      <c r="D403" s="0" t="s">
        <v>3293</v>
      </c>
      <c r="E403" s="0" t="s">
        <v>3294</v>
      </c>
      <c r="F403" s="0" t="s">
        <v>2488</v>
      </c>
      <c r="G403" s="0" t="s">
        <v>22</v>
      </c>
      <c r="H403" s="0" t="s">
        <v>3295</v>
      </c>
      <c r="I403" s="0" t="s">
        <v>950</v>
      </c>
    </row>
    <row customHeight="1" ht="11.25">
      <c r="A404" s="1856" t="s">
        <v>2485</v>
      </c>
      <c r="B404" s="1856" t="s">
        <v>16</v>
      </c>
      <c r="C404" s="0" t="s">
        <v>2761</v>
      </c>
      <c r="D404" s="0" t="s">
        <v>2762</v>
      </c>
      <c r="E404" s="0" t="s">
        <v>2763</v>
      </c>
      <c r="F404" s="0" t="s">
        <v>2728</v>
      </c>
      <c r="G404" s="0" t="s">
        <v>22</v>
      </c>
      <c r="H404" s="0" t="s">
        <v>22</v>
      </c>
      <c r="I404" s="0" t="s">
        <v>950</v>
      </c>
    </row>
    <row customHeight="1" ht="11.25">
      <c r="A405" s="1856" t="s">
        <v>2485</v>
      </c>
      <c r="B405" s="1856" t="s">
        <v>16</v>
      </c>
      <c r="C405" s="0" t="s">
        <v>3144</v>
      </c>
      <c r="D405" s="0" t="s">
        <v>3145</v>
      </c>
      <c r="E405" s="0" t="s">
        <v>3146</v>
      </c>
      <c r="F405" s="0" t="s">
        <v>2682</v>
      </c>
      <c r="G405" s="0" t="s">
        <v>22</v>
      </c>
      <c r="H405" s="0" t="s">
        <v>22</v>
      </c>
      <c r="I405" s="0" t="s">
        <v>950</v>
      </c>
    </row>
    <row customHeight="1" ht="11.25">
      <c r="A406" s="1856" t="s">
        <v>2485</v>
      </c>
      <c r="B406" s="1856" t="s">
        <v>16</v>
      </c>
      <c r="C406" s="0" t="s">
        <v>3147</v>
      </c>
      <c r="D406" s="0" t="s">
        <v>3148</v>
      </c>
      <c r="E406" s="0" t="s">
        <v>3149</v>
      </c>
      <c r="F406" s="0" t="s">
        <v>2549</v>
      </c>
      <c r="G406" s="0" t="s">
        <v>3150</v>
      </c>
      <c r="H406" s="0" t="s">
        <v>22</v>
      </c>
      <c r="I406" s="0" t="s">
        <v>950</v>
      </c>
    </row>
    <row customHeight="1" ht="11.25">
      <c r="A407" s="1856" t="s">
        <v>2485</v>
      </c>
      <c r="B407" s="1856" t="s">
        <v>16</v>
      </c>
      <c r="C407" s="0" t="s">
        <v>2777</v>
      </c>
      <c r="D407" s="0" t="s">
        <v>2778</v>
      </c>
      <c r="E407" s="0" t="s">
        <v>2779</v>
      </c>
      <c r="F407" s="0" t="s">
        <v>2537</v>
      </c>
      <c r="G407" s="0" t="s">
        <v>22</v>
      </c>
      <c r="H407" s="0" t="s">
        <v>22</v>
      </c>
      <c r="I407" s="0" t="s">
        <v>950</v>
      </c>
    </row>
    <row customHeight="1" ht="11.25">
      <c r="A408" s="1856" t="s">
        <v>2485</v>
      </c>
      <c r="B408" s="1856" t="s">
        <v>16</v>
      </c>
      <c r="C408" s="0" t="s">
        <v>2795</v>
      </c>
      <c r="D408" s="0" t="s">
        <v>2796</v>
      </c>
      <c r="E408" s="0" t="s">
        <v>2797</v>
      </c>
      <c r="F408" s="0" t="s">
        <v>2703</v>
      </c>
      <c r="G408" s="0" t="s">
        <v>2798</v>
      </c>
      <c r="H408" s="0" t="s">
        <v>22</v>
      </c>
      <c r="I408" s="0" t="s">
        <v>950</v>
      </c>
    </row>
    <row customHeight="1" ht="11.25">
      <c r="A409" s="1856" t="s">
        <v>2485</v>
      </c>
      <c r="B409" s="1856" t="s">
        <v>16</v>
      </c>
      <c r="C409" s="0" t="s">
        <v>3151</v>
      </c>
      <c r="D409" s="0" t="s">
        <v>3152</v>
      </c>
      <c r="E409" s="0" t="s">
        <v>3153</v>
      </c>
      <c r="F409" s="0" t="s">
        <v>2689</v>
      </c>
      <c r="G409" s="0" t="s">
        <v>22</v>
      </c>
      <c r="H409" s="0" t="s">
        <v>22</v>
      </c>
      <c r="I409" s="0" t="s">
        <v>950</v>
      </c>
    </row>
    <row customHeight="1" ht="11.25">
      <c r="A410" s="1856" t="s">
        <v>2485</v>
      </c>
      <c r="B410" s="1856" t="s">
        <v>16</v>
      </c>
      <c r="C410" s="0" t="s">
        <v>3154</v>
      </c>
      <c r="D410" s="0" t="s">
        <v>3155</v>
      </c>
      <c r="E410" s="0" t="s">
        <v>3156</v>
      </c>
      <c r="F410" s="0" t="s">
        <v>2634</v>
      </c>
      <c r="G410" s="0" t="s">
        <v>22</v>
      </c>
      <c r="H410" s="0" t="s">
        <v>22</v>
      </c>
      <c r="I410" s="0" t="s">
        <v>950</v>
      </c>
    </row>
    <row customHeight="1" ht="11.25">
      <c r="A411" s="1856" t="s">
        <v>2485</v>
      </c>
      <c r="B411" s="1856" t="s">
        <v>16</v>
      </c>
      <c r="C411" s="0" t="s">
        <v>3157</v>
      </c>
      <c r="D411" s="0" t="s">
        <v>3158</v>
      </c>
      <c r="E411" s="0" t="s">
        <v>3159</v>
      </c>
      <c r="F411" s="0" t="s">
        <v>3160</v>
      </c>
      <c r="G411" s="0" t="s">
        <v>22</v>
      </c>
      <c r="H411" s="0" t="s">
        <v>22</v>
      </c>
      <c r="I411" s="0" t="s">
        <v>950</v>
      </c>
    </row>
    <row customHeight="1" ht="11.25">
      <c r="A412" s="1856" t="s">
        <v>2485</v>
      </c>
      <c r="B412" s="1856" t="s">
        <v>16</v>
      </c>
      <c r="C412" s="0" t="s">
        <v>3161</v>
      </c>
      <c r="D412" s="0" t="s">
        <v>3162</v>
      </c>
      <c r="E412" s="0" t="s">
        <v>3163</v>
      </c>
      <c r="F412" s="0" t="s">
        <v>2703</v>
      </c>
      <c r="G412" s="0" t="s">
        <v>22</v>
      </c>
      <c r="H412" s="0" t="s">
        <v>22</v>
      </c>
      <c r="I412" s="0" t="s">
        <v>950</v>
      </c>
    </row>
    <row customHeight="1" ht="11.25">
      <c r="A413" s="1856" t="s">
        <v>2485</v>
      </c>
      <c r="B413" s="1856" t="s">
        <v>16</v>
      </c>
      <c r="C413" s="0" t="s">
        <v>3164</v>
      </c>
      <c r="D413" s="0" t="s">
        <v>3165</v>
      </c>
      <c r="E413" s="0" t="s">
        <v>3166</v>
      </c>
      <c r="F413" s="0" t="s">
        <v>2525</v>
      </c>
      <c r="G413" s="0" t="s">
        <v>22</v>
      </c>
      <c r="H413" s="0" t="s">
        <v>22</v>
      </c>
      <c r="I413" s="0" t="s">
        <v>950</v>
      </c>
    </row>
    <row customHeight="1" ht="11.25">
      <c r="A414" s="1856" t="s">
        <v>2485</v>
      </c>
      <c r="B414" s="1856" t="s">
        <v>16</v>
      </c>
      <c r="C414" s="0" t="s">
        <v>2814</v>
      </c>
      <c r="D414" s="0" t="s">
        <v>2815</v>
      </c>
      <c r="E414" s="0" t="s">
        <v>2816</v>
      </c>
      <c r="F414" s="0" t="s">
        <v>2682</v>
      </c>
      <c r="G414" s="0" t="s">
        <v>2559</v>
      </c>
      <c r="H414" s="0" t="s">
        <v>22</v>
      </c>
      <c r="I414" s="0" t="s">
        <v>950</v>
      </c>
    </row>
    <row customHeight="1" ht="11.25">
      <c r="A415" s="1856" t="s">
        <v>2485</v>
      </c>
      <c r="B415" s="1856" t="s">
        <v>16</v>
      </c>
      <c r="C415" s="0" t="s">
        <v>3296</v>
      </c>
      <c r="D415" s="0" t="s">
        <v>3297</v>
      </c>
      <c r="E415" s="0" t="s">
        <v>3298</v>
      </c>
      <c r="F415" s="0" t="s">
        <v>2500</v>
      </c>
      <c r="G415" s="0" t="s">
        <v>3299</v>
      </c>
      <c r="H415" s="0" t="s">
        <v>22</v>
      </c>
      <c r="I415" s="0" t="s">
        <v>950</v>
      </c>
    </row>
    <row customHeight="1" ht="11.25">
      <c r="A416" s="1856" t="s">
        <v>2485</v>
      </c>
      <c r="B416" s="1856" t="s">
        <v>16</v>
      </c>
      <c r="C416" s="0" t="s">
        <v>3167</v>
      </c>
      <c r="D416" s="0" t="s">
        <v>3168</v>
      </c>
      <c r="E416" s="0" t="s">
        <v>3169</v>
      </c>
      <c r="F416" s="0" t="s">
        <v>2682</v>
      </c>
      <c r="G416" s="0" t="s">
        <v>22</v>
      </c>
      <c r="H416" s="0" t="s">
        <v>22</v>
      </c>
      <c r="I416" s="0" t="s">
        <v>950</v>
      </c>
    </row>
    <row customHeight="1" ht="11.25">
      <c r="A417" s="1856" t="s">
        <v>2485</v>
      </c>
      <c r="B417" s="1856" t="s">
        <v>16</v>
      </c>
      <c r="C417" s="0" t="s">
        <v>2838</v>
      </c>
      <c r="D417" s="0" t="s">
        <v>2839</v>
      </c>
      <c r="E417" s="0" t="s">
        <v>2840</v>
      </c>
      <c r="F417" s="0" t="s">
        <v>2841</v>
      </c>
      <c r="G417" s="0" t="s">
        <v>22</v>
      </c>
      <c r="H417" s="0" t="s">
        <v>22</v>
      </c>
      <c r="I417" s="0" t="s">
        <v>950</v>
      </c>
    </row>
    <row customHeight="1" ht="11.25">
      <c r="A418" s="1856" t="s">
        <v>2485</v>
      </c>
      <c r="B418" s="1856" t="s">
        <v>16</v>
      </c>
      <c r="C418" s="0" t="s">
        <v>3173</v>
      </c>
      <c r="D418" s="0" t="s">
        <v>3174</v>
      </c>
      <c r="E418" s="0" t="s">
        <v>3175</v>
      </c>
      <c r="F418" s="0" t="s">
        <v>2525</v>
      </c>
      <c r="G418" s="0" t="s">
        <v>22</v>
      </c>
      <c r="H418" s="0" t="s">
        <v>3176</v>
      </c>
      <c r="I418" s="0" t="s">
        <v>950</v>
      </c>
    </row>
    <row customHeight="1" ht="11.25">
      <c r="A419" s="1856" t="s">
        <v>2485</v>
      </c>
      <c r="B419" s="1856" t="s">
        <v>16</v>
      </c>
      <c r="C419" s="0" t="s">
        <v>3177</v>
      </c>
      <c r="D419" s="0" t="s">
        <v>3178</v>
      </c>
      <c r="E419" s="0" t="s">
        <v>3179</v>
      </c>
      <c r="F419" s="0" t="s">
        <v>2728</v>
      </c>
      <c r="G419" s="0" t="s">
        <v>22</v>
      </c>
      <c r="H419" s="0" t="s">
        <v>22</v>
      </c>
      <c r="I419" s="0" t="s">
        <v>950</v>
      </c>
    </row>
    <row customHeight="1" ht="11.25">
      <c r="A420" s="1856" t="s">
        <v>2485</v>
      </c>
      <c r="B420" s="1856" t="s">
        <v>16</v>
      </c>
      <c r="C420" s="0" t="s">
        <v>3187</v>
      </c>
      <c r="D420" s="0" t="s">
        <v>3188</v>
      </c>
      <c r="E420" s="0" t="s">
        <v>3189</v>
      </c>
      <c r="F420" s="0" t="s">
        <v>2603</v>
      </c>
      <c r="G420" s="0" t="s">
        <v>22</v>
      </c>
      <c r="H420" s="0" t="s">
        <v>22</v>
      </c>
      <c r="I420" s="0" t="s">
        <v>950</v>
      </c>
    </row>
    <row customHeight="1" ht="11.25">
      <c r="A421" s="1856" t="s">
        <v>2485</v>
      </c>
      <c r="B421" s="1856" t="s">
        <v>16</v>
      </c>
      <c r="C421" s="0" t="s">
        <v>3190</v>
      </c>
      <c r="D421" s="0" t="s">
        <v>3191</v>
      </c>
      <c r="E421" s="0" t="s">
        <v>3192</v>
      </c>
      <c r="F421" s="0" t="s">
        <v>2488</v>
      </c>
      <c r="G421" s="0" t="s">
        <v>22</v>
      </c>
      <c r="H421" s="0" t="s">
        <v>22</v>
      </c>
      <c r="I421" s="0" t="s">
        <v>950</v>
      </c>
    </row>
    <row customHeight="1" ht="11.25">
      <c r="A422" s="1856" t="s">
        <v>2485</v>
      </c>
      <c r="B422" s="1856" t="s">
        <v>16</v>
      </c>
      <c r="C422" s="0" t="s">
        <v>3196</v>
      </c>
      <c r="D422" s="0" t="s">
        <v>3197</v>
      </c>
      <c r="E422" s="0" t="s">
        <v>3198</v>
      </c>
      <c r="F422" s="0" t="s">
        <v>2549</v>
      </c>
      <c r="G422" s="0" t="s">
        <v>3199</v>
      </c>
      <c r="H422" s="0" t="s">
        <v>22</v>
      </c>
      <c r="I422" s="0" t="s">
        <v>950</v>
      </c>
    </row>
    <row customHeight="1" ht="11.25">
      <c r="A423" s="1856" t="s">
        <v>2485</v>
      </c>
      <c r="B423" s="1856" t="s">
        <v>16</v>
      </c>
      <c r="C423" s="0" t="s">
        <v>3200</v>
      </c>
      <c r="D423" s="0" t="s">
        <v>3201</v>
      </c>
      <c r="E423" s="0" t="s">
        <v>2487</v>
      </c>
      <c r="F423" s="0" t="s">
        <v>2488</v>
      </c>
      <c r="G423" s="0" t="s">
        <v>22</v>
      </c>
      <c r="H423" s="0" t="s">
        <v>22</v>
      </c>
      <c r="I423" s="0" t="s">
        <v>950</v>
      </c>
    </row>
    <row customHeight="1" ht="11.25">
      <c r="A424" s="1856" t="s">
        <v>2485</v>
      </c>
      <c r="B424" s="1856" t="s">
        <v>16</v>
      </c>
      <c r="C424" s="0" t="s">
        <v>3202</v>
      </c>
      <c r="D424" s="0" t="s">
        <v>3203</v>
      </c>
      <c r="E424" s="0" t="s">
        <v>3204</v>
      </c>
      <c r="F424" s="0" t="s">
        <v>2492</v>
      </c>
      <c r="G424" s="0" t="s">
        <v>22</v>
      </c>
      <c r="H424" s="0" t="s">
        <v>22</v>
      </c>
      <c r="I424" s="0" t="s">
        <v>950</v>
      </c>
    </row>
    <row customHeight="1" ht="11.25">
      <c r="A425" s="1856" t="s">
        <v>2485</v>
      </c>
      <c r="B425" s="1856" t="s">
        <v>16</v>
      </c>
      <c r="C425" s="0" t="s">
        <v>3205</v>
      </c>
      <c r="D425" s="0" t="s">
        <v>3206</v>
      </c>
      <c r="E425" s="0" t="s">
        <v>3207</v>
      </c>
      <c r="F425" s="0" t="s">
        <v>2492</v>
      </c>
      <c r="G425" s="0" t="s">
        <v>22</v>
      </c>
      <c r="H425" s="0" t="s">
        <v>22</v>
      </c>
      <c r="I425" s="0" t="s">
        <v>950</v>
      </c>
    </row>
    <row customHeight="1" ht="11.25">
      <c r="A426" s="1856" t="s">
        <v>2485</v>
      </c>
      <c r="B426" s="1856" t="s">
        <v>16</v>
      </c>
      <c r="C426" s="0" t="s">
        <v>2845</v>
      </c>
      <c r="D426" s="0" t="s">
        <v>2846</v>
      </c>
      <c r="E426" s="0" t="s">
        <v>2847</v>
      </c>
      <c r="F426" s="0" t="s">
        <v>2510</v>
      </c>
      <c r="G426" s="0" t="s">
        <v>22</v>
      </c>
      <c r="H426" s="0" t="s">
        <v>22</v>
      </c>
      <c r="I426" s="0" t="s">
        <v>950</v>
      </c>
    </row>
    <row customHeight="1" ht="11.25">
      <c r="A427" s="1856" t="s">
        <v>2485</v>
      </c>
      <c r="B427" s="1856" t="s">
        <v>16</v>
      </c>
      <c r="C427" s="0" t="s">
        <v>2856</v>
      </c>
      <c r="D427" s="0" t="s">
        <v>2857</v>
      </c>
      <c r="E427" s="0" t="s">
        <v>2858</v>
      </c>
      <c r="F427" s="0" t="s">
        <v>2826</v>
      </c>
      <c r="G427" s="0" t="s">
        <v>2859</v>
      </c>
      <c r="H427" s="0" t="s">
        <v>22</v>
      </c>
      <c r="I427" s="0" t="s">
        <v>950</v>
      </c>
    </row>
    <row customHeight="1" ht="11.25">
      <c r="A428" s="1856" t="s">
        <v>2485</v>
      </c>
      <c r="B428" s="1856" t="s">
        <v>16</v>
      </c>
      <c r="C428" s="0" t="s">
        <v>2860</v>
      </c>
      <c r="D428" s="0" t="s">
        <v>2861</v>
      </c>
      <c r="E428" s="0" t="s">
        <v>2862</v>
      </c>
      <c r="F428" s="0" t="s">
        <v>2549</v>
      </c>
      <c r="G428" s="0" t="s">
        <v>2863</v>
      </c>
      <c r="H428" s="0" t="s">
        <v>22</v>
      </c>
      <c r="I428" s="0" t="s">
        <v>950</v>
      </c>
    </row>
    <row customHeight="1" ht="11.25">
      <c r="A429" s="1856" t="s">
        <v>2485</v>
      </c>
      <c r="B429" s="1856" t="s">
        <v>16</v>
      </c>
      <c r="C429" s="0" t="s">
        <v>3214</v>
      </c>
      <c r="D429" s="0" t="s">
        <v>3215</v>
      </c>
      <c r="E429" s="0" t="s">
        <v>3216</v>
      </c>
      <c r="F429" s="0" t="s">
        <v>3217</v>
      </c>
      <c r="G429" s="0" t="s">
        <v>22</v>
      </c>
      <c r="H429" s="0" t="s">
        <v>22</v>
      </c>
      <c r="I429" s="0" t="s">
        <v>950</v>
      </c>
    </row>
    <row customHeight="1" ht="11.25">
      <c r="A430" s="1856" t="s">
        <v>2485</v>
      </c>
      <c r="B430" s="1856" t="s">
        <v>16</v>
      </c>
      <c r="C430" s="0" t="s">
        <v>3218</v>
      </c>
      <c r="D430" s="0" t="s">
        <v>3219</v>
      </c>
      <c r="E430" s="0" t="s">
        <v>3220</v>
      </c>
      <c r="F430" s="0" t="s">
        <v>2634</v>
      </c>
      <c r="G430" s="0" t="s">
        <v>22</v>
      </c>
      <c r="H430" s="0" t="s">
        <v>22</v>
      </c>
      <c r="I430" s="0" t="s">
        <v>950</v>
      </c>
    </row>
    <row customHeight="1" ht="11.25">
      <c r="A431" s="1856" t="s">
        <v>2485</v>
      </c>
      <c r="B431" s="1856" t="s">
        <v>16</v>
      </c>
      <c r="C431" s="0" t="s">
        <v>2874</v>
      </c>
      <c r="D431" s="0" t="s">
        <v>2875</v>
      </c>
      <c r="E431" s="0" t="s">
        <v>2876</v>
      </c>
      <c r="F431" s="0" t="s">
        <v>2703</v>
      </c>
      <c r="G431" s="0" t="s">
        <v>22</v>
      </c>
      <c r="H431" s="0" t="s">
        <v>22</v>
      </c>
      <c r="I431" s="0" t="s">
        <v>950</v>
      </c>
    </row>
    <row customHeight="1" ht="11.25">
      <c r="A432" s="1856" t="s">
        <v>2485</v>
      </c>
      <c r="B432" s="1856" t="s">
        <v>16</v>
      </c>
      <c r="C432" s="0" t="s">
        <v>2880</v>
      </c>
      <c r="D432" s="0" t="s">
        <v>2881</v>
      </c>
      <c r="E432" s="0" t="s">
        <v>2882</v>
      </c>
      <c r="F432" s="0" t="s">
        <v>2883</v>
      </c>
      <c r="G432" s="0" t="s">
        <v>2884</v>
      </c>
      <c r="H432" s="0" t="s">
        <v>22</v>
      </c>
      <c r="I432" s="0" t="s">
        <v>950</v>
      </c>
    </row>
    <row customHeight="1" ht="11.25">
      <c r="A433" s="1856" t="s">
        <v>2485</v>
      </c>
      <c r="B433" s="1856" t="s">
        <v>16</v>
      </c>
      <c r="C433" s="0" t="s">
        <v>2885</v>
      </c>
      <c r="D433" s="0" t="s">
        <v>2886</v>
      </c>
      <c r="E433" s="0" t="s">
        <v>2887</v>
      </c>
      <c r="F433" s="0" t="s">
        <v>2703</v>
      </c>
      <c r="G433" s="0" t="s">
        <v>22</v>
      </c>
      <c r="H433" s="0" t="s">
        <v>22</v>
      </c>
      <c r="I433" s="0" t="s">
        <v>950</v>
      </c>
    </row>
    <row customHeight="1" ht="11.25">
      <c r="A434" s="1856" t="s">
        <v>2485</v>
      </c>
      <c r="B434" s="1856" t="s">
        <v>16</v>
      </c>
      <c r="C434" s="0" t="s">
        <v>2891</v>
      </c>
      <c r="D434" s="0" t="s">
        <v>2892</v>
      </c>
      <c r="E434" s="0" t="s">
        <v>2893</v>
      </c>
      <c r="F434" s="0" t="s">
        <v>2525</v>
      </c>
      <c r="G434" s="0" t="s">
        <v>22</v>
      </c>
      <c r="H434" s="0" t="s">
        <v>22</v>
      </c>
      <c r="I434" s="0" t="s">
        <v>950</v>
      </c>
    </row>
    <row customHeight="1" ht="11.25">
      <c r="A435" s="1856" t="s">
        <v>2485</v>
      </c>
      <c r="B435" s="1856" t="s">
        <v>16</v>
      </c>
      <c r="C435" s="0" t="s">
        <v>2894</v>
      </c>
      <c r="D435" s="0" t="s">
        <v>2895</v>
      </c>
      <c r="E435" s="0" t="s">
        <v>2896</v>
      </c>
      <c r="F435" s="0" t="s">
        <v>2634</v>
      </c>
      <c r="G435" s="0" t="s">
        <v>22</v>
      </c>
      <c r="H435" s="0" t="s">
        <v>22</v>
      </c>
      <c r="I435" s="0" t="s">
        <v>950</v>
      </c>
    </row>
    <row customHeight="1" ht="11.25">
      <c r="A436" s="1856" t="s">
        <v>2485</v>
      </c>
      <c r="B436" s="1856" t="s">
        <v>16</v>
      </c>
      <c r="C436" s="0" t="s">
        <v>3221</v>
      </c>
      <c r="D436" s="0" t="s">
        <v>3222</v>
      </c>
      <c r="E436" s="0" t="s">
        <v>3223</v>
      </c>
      <c r="F436" s="0" t="s">
        <v>3030</v>
      </c>
      <c r="G436" s="0" t="s">
        <v>22</v>
      </c>
      <c r="H436" s="0" t="s">
        <v>22</v>
      </c>
      <c r="I436" s="0" t="s">
        <v>950</v>
      </c>
    </row>
    <row customHeight="1" ht="11.25">
      <c r="A437" s="1856" t="s">
        <v>2485</v>
      </c>
      <c r="B437" s="1856" t="s">
        <v>16</v>
      </c>
      <c r="C437" s="0" t="s">
        <v>3224</v>
      </c>
      <c r="D437" s="0" t="s">
        <v>3225</v>
      </c>
      <c r="E437" s="0" t="s">
        <v>3226</v>
      </c>
      <c r="F437" s="0" t="s">
        <v>3030</v>
      </c>
      <c r="G437" s="0" t="s">
        <v>22</v>
      </c>
      <c r="H437" s="0" t="s">
        <v>22</v>
      </c>
      <c r="I437" s="0" t="s">
        <v>950</v>
      </c>
    </row>
    <row customHeight="1" ht="11.25">
      <c r="A438" s="1856" t="s">
        <v>2485</v>
      </c>
      <c r="B438" s="1856" t="s">
        <v>16</v>
      </c>
      <c r="C438" s="0" t="s">
        <v>3227</v>
      </c>
      <c r="D438" s="0" t="s">
        <v>3228</v>
      </c>
      <c r="E438" s="0" t="s">
        <v>3229</v>
      </c>
      <c r="F438" s="0" t="s">
        <v>2525</v>
      </c>
      <c r="G438" s="0" t="s">
        <v>22</v>
      </c>
      <c r="H438" s="0" t="s">
        <v>22</v>
      </c>
      <c r="I438" s="0" t="s">
        <v>950</v>
      </c>
    </row>
    <row customHeight="1" ht="11.25">
      <c r="A439" s="1856" t="s">
        <v>2485</v>
      </c>
      <c r="B439" s="1856" t="s">
        <v>16</v>
      </c>
      <c r="C439" s="0" t="s">
        <v>2897</v>
      </c>
      <c r="D439" s="0" t="s">
        <v>2898</v>
      </c>
      <c r="E439" s="0" t="s">
        <v>2899</v>
      </c>
      <c r="F439" s="0" t="s">
        <v>2496</v>
      </c>
      <c r="G439" s="0" t="s">
        <v>22</v>
      </c>
      <c r="H439" s="0" t="s">
        <v>22</v>
      </c>
      <c r="I439" s="0" t="s">
        <v>950</v>
      </c>
    </row>
    <row customHeight="1" ht="11.25">
      <c r="A440" s="1856" t="s">
        <v>2485</v>
      </c>
      <c r="B440" s="1856" t="s">
        <v>16</v>
      </c>
      <c r="C440" s="0" t="s">
        <v>2900</v>
      </c>
      <c r="D440" s="0" t="s">
        <v>2901</v>
      </c>
      <c r="E440" s="0" t="s">
        <v>2902</v>
      </c>
      <c r="F440" s="0" t="s">
        <v>2903</v>
      </c>
      <c r="G440" s="0" t="s">
        <v>22</v>
      </c>
      <c r="H440" s="0" t="s">
        <v>22</v>
      </c>
      <c r="I440" s="0" t="s">
        <v>950</v>
      </c>
    </row>
    <row customHeight="1" ht="11.25">
      <c r="A441" s="1856" t="s">
        <v>2485</v>
      </c>
      <c r="B441" s="1856" t="s">
        <v>16</v>
      </c>
      <c r="C441" s="0" t="s">
        <v>3239</v>
      </c>
      <c r="D441" s="0" t="s">
        <v>3240</v>
      </c>
      <c r="E441" s="0" t="s">
        <v>3241</v>
      </c>
      <c r="F441" s="0" t="s">
        <v>3082</v>
      </c>
      <c r="G441" s="0" t="s">
        <v>3242</v>
      </c>
      <c r="H441" s="0" t="s">
        <v>22</v>
      </c>
      <c r="I441" s="0" t="s">
        <v>950</v>
      </c>
    </row>
    <row customHeight="1" ht="11.25">
      <c r="A442" s="1856" t="s">
        <v>2485</v>
      </c>
      <c r="B442" s="1856" t="s">
        <v>16</v>
      </c>
      <c r="C442" s="0" t="s">
        <v>3243</v>
      </c>
      <c r="D442" s="0" t="s">
        <v>3244</v>
      </c>
      <c r="E442" s="0" t="s">
        <v>3245</v>
      </c>
      <c r="F442" s="0" t="s">
        <v>2603</v>
      </c>
      <c r="G442" s="0" t="s">
        <v>22</v>
      </c>
      <c r="H442" s="0" t="s">
        <v>22</v>
      </c>
      <c r="I442" s="0" t="s">
        <v>950</v>
      </c>
    </row>
    <row customHeight="1" ht="11.25">
      <c r="A443" s="1856" t="s">
        <v>2485</v>
      </c>
      <c r="B443" s="1856" t="s">
        <v>16</v>
      </c>
      <c r="C443" s="0" t="s">
        <v>3246</v>
      </c>
      <c r="D443" s="0" t="s">
        <v>3247</v>
      </c>
      <c r="E443" s="0" t="s">
        <v>3248</v>
      </c>
      <c r="F443" s="0" t="s">
        <v>2626</v>
      </c>
      <c r="G443" s="0" t="s">
        <v>22</v>
      </c>
      <c r="H443" s="0" t="s">
        <v>22</v>
      </c>
      <c r="I443" s="0" t="s">
        <v>950</v>
      </c>
    </row>
    <row customHeight="1" ht="11.25">
      <c r="A444" s="1856" t="s">
        <v>2485</v>
      </c>
      <c r="B444" s="1856" t="s">
        <v>16</v>
      </c>
      <c r="C444" s="0" t="s">
        <v>3255</v>
      </c>
      <c r="D444" s="0" t="s">
        <v>3256</v>
      </c>
      <c r="E444" s="0" t="s">
        <v>3257</v>
      </c>
      <c r="F444" s="0" t="s">
        <v>3030</v>
      </c>
      <c r="G444" s="0" t="s">
        <v>3258</v>
      </c>
      <c r="H444" s="0" t="s">
        <v>3259</v>
      </c>
      <c r="I444" s="0" t="s">
        <v>950</v>
      </c>
    </row>
    <row customHeight="1" ht="11.25">
      <c r="A445" s="1856" t="s">
        <v>2485</v>
      </c>
      <c r="B445" s="1856" t="s">
        <v>16</v>
      </c>
      <c r="C445" s="0" t="s">
        <v>3260</v>
      </c>
      <c r="D445" s="0" t="s">
        <v>3261</v>
      </c>
      <c r="E445" s="0" t="s">
        <v>3262</v>
      </c>
      <c r="F445" s="0" t="s">
        <v>2558</v>
      </c>
      <c r="G445" s="0" t="s">
        <v>22</v>
      </c>
      <c r="H445" s="0" t="s">
        <v>22</v>
      </c>
      <c r="I445" s="0" t="s">
        <v>950</v>
      </c>
    </row>
    <row customHeight="1" ht="11.25">
      <c r="A446" s="1856" t="s">
        <v>2485</v>
      </c>
      <c r="B446" s="1856" t="s">
        <v>16</v>
      </c>
      <c r="C446" s="0" t="s">
        <v>22</v>
      </c>
      <c r="D446" s="0" t="s">
        <v>2486</v>
      </c>
      <c r="E446" s="0" t="s">
        <v>2487</v>
      </c>
      <c r="F446" s="0" t="s">
        <v>2488</v>
      </c>
      <c r="G446" s="0" t="s">
        <v>22</v>
      </c>
      <c r="H446" s="0" t="s">
        <v>22</v>
      </c>
      <c r="I446" s="0" t="s">
        <v>1890</v>
      </c>
    </row>
    <row customHeight="1" ht="11.25">
      <c r="A447" s="1856" t="s">
        <v>2485</v>
      </c>
      <c r="B447" s="1856" t="s">
        <v>16</v>
      </c>
      <c r="C447" s="0" t="s">
        <v>3300</v>
      </c>
      <c r="D447" s="0" t="s">
        <v>3301</v>
      </c>
      <c r="E447" s="0" t="s">
        <v>3302</v>
      </c>
      <c r="F447" s="0" t="s">
        <v>594</v>
      </c>
      <c r="G447" s="0" t="s">
        <v>3303</v>
      </c>
      <c r="H447" s="0" t="s">
        <v>3304</v>
      </c>
      <c r="I447" s="0" t="s">
        <v>1890</v>
      </c>
    </row>
    <row customHeight="1" ht="11.25">
      <c r="A448" s="1856" t="s">
        <v>2485</v>
      </c>
      <c r="B448" s="1856" t="s">
        <v>16</v>
      </c>
      <c r="C448" s="0" t="s">
        <v>2641</v>
      </c>
      <c r="D448" s="0" t="s">
        <v>2642</v>
      </c>
      <c r="E448" s="0" t="s">
        <v>2643</v>
      </c>
      <c r="F448" s="0" t="s">
        <v>2644</v>
      </c>
      <c r="G448" s="0" t="s">
        <v>22</v>
      </c>
      <c r="H448" s="0" t="s">
        <v>22</v>
      </c>
      <c r="I448" s="0" t="s">
        <v>1890</v>
      </c>
    </row>
    <row customHeight="1" ht="11.25">
      <c r="A449" s="1856" t="s">
        <v>2485</v>
      </c>
      <c r="B449" s="1856" t="s">
        <v>16</v>
      </c>
      <c r="C449" s="0" t="s">
        <v>3003</v>
      </c>
      <c r="D449" s="0" t="s">
        <v>3004</v>
      </c>
      <c r="E449" s="0" t="s">
        <v>3005</v>
      </c>
      <c r="F449" s="0" t="s">
        <v>2728</v>
      </c>
      <c r="G449" s="0" t="s">
        <v>22</v>
      </c>
      <c r="H449" s="0" t="s">
        <v>22</v>
      </c>
      <c r="I449" s="0" t="s">
        <v>1890</v>
      </c>
    </row>
    <row customHeight="1" ht="11.25">
      <c r="A450" s="1856" t="s">
        <v>2485</v>
      </c>
      <c r="B450" s="1856" t="s">
        <v>16</v>
      </c>
      <c r="C450" s="0" t="s">
        <v>3305</v>
      </c>
      <c r="D450" s="0" t="s">
        <v>3306</v>
      </c>
      <c r="E450" s="0" t="s">
        <v>3307</v>
      </c>
      <c r="F450" s="0" t="s">
        <v>2742</v>
      </c>
      <c r="G450" s="0" t="s">
        <v>3308</v>
      </c>
      <c r="H450" s="0" t="s">
        <v>22</v>
      </c>
      <c r="I450" s="0" t="s">
        <v>1890</v>
      </c>
    </row>
    <row customHeight="1" ht="11.25">
      <c r="A451" s="1856" t="s">
        <v>2485</v>
      </c>
      <c r="B451" s="1856" t="s">
        <v>16</v>
      </c>
      <c r="C451" s="0" t="s">
        <v>2656</v>
      </c>
      <c r="D451" s="0" t="s">
        <v>2657</v>
      </c>
      <c r="E451" s="0" t="s">
        <v>2658</v>
      </c>
      <c r="F451" s="0" t="s">
        <v>2525</v>
      </c>
      <c r="G451" s="0" t="s">
        <v>22</v>
      </c>
      <c r="H451" s="0" t="s">
        <v>22</v>
      </c>
      <c r="I451" s="0" t="s">
        <v>1890</v>
      </c>
    </row>
    <row customHeight="1" ht="11.25">
      <c r="A452" s="1856" t="s">
        <v>2485</v>
      </c>
      <c r="B452" s="1856" t="s">
        <v>16</v>
      </c>
      <c r="C452" s="0" t="s">
        <v>3309</v>
      </c>
      <c r="D452" s="0" t="s">
        <v>3310</v>
      </c>
      <c r="E452" s="0" t="s">
        <v>3311</v>
      </c>
      <c r="F452" s="0" t="s">
        <v>2626</v>
      </c>
      <c r="G452" s="0" t="s">
        <v>22</v>
      </c>
      <c r="H452" s="0" t="s">
        <v>22</v>
      </c>
      <c r="I452" s="0" t="s">
        <v>1890</v>
      </c>
    </row>
    <row customHeight="1" ht="11.25">
      <c r="A453" s="1856" t="s">
        <v>2485</v>
      </c>
      <c r="B453" s="1856" t="s">
        <v>16</v>
      </c>
      <c r="C453" s="0" t="s">
        <v>2663</v>
      </c>
      <c r="D453" s="0" t="s">
        <v>2664</v>
      </c>
      <c r="E453" s="0" t="s">
        <v>2665</v>
      </c>
      <c r="F453" s="0" t="s">
        <v>2533</v>
      </c>
      <c r="G453" s="0" t="s">
        <v>22</v>
      </c>
      <c r="H453" s="0" t="s">
        <v>22</v>
      </c>
      <c r="I453" s="0" t="s">
        <v>1890</v>
      </c>
    </row>
    <row customHeight="1" ht="11.25">
      <c r="A454" s="1856" t="s">
        <v>2485</v>
      </c>
      <c r="B454" s="1856" t="s">
        <v>16</v>
      </c>
      <c r="C454" s="0" t="s">
        <v>2666</v>
      </c>
      <c r="D454" s="0" t="s">
        <v>2667</v>
      </c>
      <c r="E454" s="0" t="s">
        <v>2668</v>
      </c>
      <c r="F454" s="0" t="s">
        <v>2533</v>
      </c>
      <c r="G454" s="0" t="s">
        <v>22</v>
      </c>
      <c r="H454" s="0" t="s">
        <v>22</v>
      </c>
      <c r="I454" s="0" t="s">
        <v>1890</v>
      </c>
    </row>
    <row customHeight="1" ht="11.25">
      <c r="A455" s="1856" t="s">
        <v>2485</v>
      </c>
      <c r="B455" s="1856" t="s">
        <v>16</v>
      </c>
      <c r="C455" s="0" t="s">
        <v>3312</v>
      </c>
      <c r="D455" s="0" t="s">
        <v>3313</v>
      </c>
      <c r="E455" s="0" t="s">
        <v>3314</v>
      </c>
      <c r="F455" s="0" t="s">
        <v>2672</v>
      </c>
      <c r="G455" s="0" t="s">
        <v>3315</v>
      </c>
      <c r="H455" s="0" t="s">
        <v>22</v>
      </c>
      <c r="I455" s="0" t="s">
        <v>1890</v>
      </c>
    </row>
    <row customHeight="1" ht="11.25">
      <c r="A456" s="1856" t="s">
        <v>2485</v>
      </c>
      <c r="B456" s="1856" t="s">
        <v>16</v>
      </c>
      <c r="C456" s="0" t="s">
        <v>3316</v>
      </c>
      <c r="D456" s="0" t="s">
        <v>3317</v>
      </c>
      <c r="E456" s="0" t="s">
        <v>3318</v>
      </c>
      <c r="F456" s="0" t="s">
        <v>2655</v>
      </c>
      <c r="G456" s="0" t="s">
        <v>22</v>
      </c>
      <c r="H456" s="0" t="s">
        <v>22</v>
      </c>
      <c r="I456" s="0" t="s">
        <v>1890</v>
      </c>
    </row>
    <row customHeight="1" ht="11.25">
      <c r="A457" s="1856" t="s">
        <v>2485</v>
      </c>
      <c r="B457" s="1856" t="s">
        <v>16</v>
      </c>
      <c r="C457" s="0" t="s">
        <v>3319</v>
      </c>
      <c r="D457" s="0" t="s">
        <v>3320</v>
      </c>
      <c r="E457" s="0" t="s">
        <v>3321</v>
      </c>
      <c r="F457" s="0" t="s">
        <v>2537</v>
      </c>
      <c r="G457" s="0" t="s">
        <v>22</v>
      </c>
      <c r="H457" s="0" t="s">
        <v>22</v>
      </c>
      <c r="I457" s="0" t="s">
        <v>1890</v>
      </c>
    </row>
    <row customHeight="1" ht="11.25">
      <c r="A458" s="1856" t="s">
        <v>2485</v>
      </c>
      <c r="B458" s="1856" t="s">
        <v>16</v>
      </c>
      <c r="C458" s="0" t="s">
        <v>3322</v>
      </c>
      <c r="D458" s="0" t="s">
        <v>3323</v>
      </c>
      <c r="E458" s="0" t="s">
        <v>3324</v>
      </c>
      <c r="F458" s="0" t="s">
        <v>2488</v>
      </c>
      <c r="G458" s="0" t="s">
        <v>3325</v>
      </c>
      <c r="H458" s="0" t="s">
        <v>22</v>
      </c>
      <c r="I458" s="0" t="s">
        <v>1890</v>
      </c>
    </row>
    <row customHeight="1" ht="11.25">
      <c r="A459" s="1856" t="s">
        <v>2485</v>
      </c>
      <c r="B459" s="1856" t="s">
        <v>16</v>
      </c>
      <c r="C459" s="0" t="s">
        <v>3326</v>
      </c>
      <c r="D459" s="0" t="s">
        <v>3327</v>
      </c>
      <c r="E459" s="0" t="s">
        <v>3328</v>
      </c>
      <c r="F459" s="0" t="s">
        <v>2696</v>
      </c>
      <c r="G459" s="0" t="s">
        <v>3329</v>
      </c>
      <c r="H459" s="0" t="s">
        <v>22</v>
      </c>
      <c r="I459" s="0" t="s">
        <v>1890</v>
      </c>
    </row>
    <row customHeight="1" ht="11.25">
      <c r="A460" s="1856" t="s">
        <v>2485</v>
      </c>
      <c r="B460" s="1856" t="s">
        <v>16</v>
      </c>
      <c r="C460" s="0" t="s">
        <v>3330</v>
      </c>
      <c r="D460" s="0" t="s">
        <v>3331</v>
      </c>
      <c r="E460" s="0" t="s">
        <v>3332</v>
      </c>
      <c r="F460" s="0" t="s">
        <v>2742</v>
      </c>
      <c r="G460" s="0" t="s">
        <v>3333</v>
      </c>
      <c r="H460" s="0" t="s">
        <v>22</v>
      </c>
      <c r="I460" s="0" t="s">
        <v>1890</v>
      </c>
    </row>
    <row customHeight="1" ht="11.25">
      <c r="A461" s="1856" t="s">
        <v>2485</v>
      </c>
      <c r="B461" s="1856" t="s">
        <v>16</v>
      </c>
      <c r="C461" s="0" t="s">
        <v>3334</v>
      </c>
      <c r="D461" s="0" t="s">
        <v>3335</v>
      </c>
      <c r="E461" s="0" t="s">
        <v>3336</v>
      </c>
      <c r="F461" s="0" t="s">
        <v>2505</v>
      </c>
      <c r="G461" s="0" t="s">
        <v>3337</v>
      </c>
      <c r="H461" s="0" t="s">
        <v>22</v>
      </c>
      <c r="I461" s="0" t="s">
        <v>1890</v>
      </c>
    </row>
    <row customHeight="1" ht="11.25">
      <c r="A462" s="1856" t="s">
        <v>2485</v>
      </c>
      <c r="B462" s="1856" t="s">
        <v>16</v>
      </c>
      <c r="C462" s="0" t="s">
        <v>3338</v>
      </c>
      <c r="D462" s="0" t="s">
        <v>3339</v>
      </c>
      <c r="E462" s="0" t="s">
        <v>3340</v>
      </c>
      <c r="F462" s="0" t="s">
        <v>2841</v>
      </c>
      <c r="G462" s="0" t="s">
        <v>3341</v>
      </c>
      <c r="H462" s="0" t="s">
        <v>22</v>
      </c>
      <c r="I462" s="0" t="s">
        <v>1890</v>
      </c>
    </row>
    <row customHeight="1" ht="11.25">
      <c r="A463" s="1856" t="s">
        <v>2485</v>
      </c>
      <c r="B463" s="1856" t="s">
        <v>16</v>
      </c>
      <c r="C463" s="0" t="s">
        <v>3342</v>
      </c>
      <c r="D463" s="0" t="s">
        <v>3343</v>
      </c>
      <c r="E463" s="0" t="s">
        <v>3344</v>
      </c>
      <c r="F463" s="0" t="s">
        <v>3018</v>
      </c>
      <c r="G463" s="0" t="s">
        <v>3345</v>
      </c>
      <c r="H463" s="0" t="s">
        <v>22</v>
      </c>
      <c r="I463" s="0" t="s">
        <v>1890</v>
      </c>
    </row>
    <row customHeight="1" ht="11.25">
      <c r="A464" s="1856" t="s">
        <v>2485</v>
      </c>
      <c r="B464" s="1856" t="s">
        <v>16</v>
      </c>
      <c r="C464" s="0" t="s">
        <v>3117</v>
      </c>
      <c r="D464" s="0" t="s">
        <v>3118</v>
      </c>
      <c r="E464" s="0" t="s">
        <v>3119</v>
      </c>
      <c r="F464" s="0" t="s">
        <v>2728</v>
      </c>
      <c r="G464" s="0" t="s">
        <v>22</v>
      </c>
      <c r="H464" s="0" t="s">
        <v>22</v>
      </c>
      <c r="I464" s="0" t="s">
        <v>1890</v>
      </c>
    </row>
    <row customHeight="1" ht="11.25">
      <c r="A465" s="1856" t="s">
        <v>2485</v>
      </c>
      <c r="B465" s="1856" t="s">
        <v>16</v>
      </c>
      <c r="C465" s="0" t="s">
        <v>3346</v>
      </c>
      <c r="D465" s="0" t="s">
        <v>3347</v>
      </c>
      <c r="E465" s="0" t="s">
        <v>3348</v>
      </c>
      <c r="F465" s="0" t="s">
        <v>2930</v>
      </c>
      <c r="G465" s="0" t="s">
        <v>3349</v>
      </c>
      <c r="H465" s="0" t="s">
        <v>22</v>
      </c>
      <c r="I465" s="0" t="s">
        <v>1890</v>
      </c>
    </row>
    <row customHeight="1" ht="11.25">
      <c r="A466" s="1856" t="s">
        <v>2485</v>
      </c>
      <c r="B466" s="1856" t="s">
        <v>16</v>
      </c>
      <c r="C466" s="0" t="s">
        <v>3350</v>
      </c>
      <c r="D466" s="0" t="s">
        <v>3351</v>
      </c>
      <c r="E466" s="0" t="s">
        <v>3352</v>
      </c>
      <c r="F466" s="0" t="s">
        <v>2558</v>
      </c>
      <c r="G466" s="0" t="s">
        <v>22</v>
      </c>
      <c r="H466" s="0" t="s">
        <v>22</v>
      </c>
      <c r="I466" s="0" t="s">
        <v>1890</v>
      </c>
    </row>
    <row customHeight="1" ht="11.25">
      <c r="A467" s="1856" t="s">
        <v>2485</v>
      </c>
      <c r="B467" s="1856" t="s">
        <v>16</v>
      </c>
      <c r="C467" s="0" t="s">
        <v>3353</v>
      </c>
      <c r="D467" s="0" t="s">
        <v>3354</v>
      </c>
      <c r="E467" s="0" t="s">
        <v>3355</v>
      </c>
      <c r="F467" s="0" t="s">
        <v>2492</v>
      </c>
      <c r="G467" s="0" t="s">
        <v>3356</v>
      </c>
      <c r="H467" s="0" t="s">
        <v>22</v>
      </c>
      <c r="I467" s="0" t="s">
        <v>1890</v>
      </c>
    </row>
    <row customHeight="1" ht="11.25">
      <c r="A468" s="1856" t="s">
        <v>2485</v>
      </c>
      <c r="B468" s="1856" t="s">
        <v>16</v>
      </c>
      <c r="C468" s="0" t="s">
        <v>3357</v>
      </c>
      <c r="D468" s="0" t="s">
        <v>3358</v>
      </c>
      <c r="E468" s="0" t="s">
        <v>3359</v>
      </c>
      <c r="F468" s="0" t="s">
        <v>2500</v>
      </c>
      <c r="G468" s="0" t="s">
        <v>22</v>
      </c>
      <c r="H468" s="0" t="s">
        <v>22</v>
      </c>
      <c r="I468" s="0" t="s">
        <v>1890</v>
      </c>
    </row>
    <row customHeight="1" ht="11.25">
      <c r="A469" s="1856" t="s">
        <v>2485</v>
      </c>
      <c r="B469" s="1856" t="s">
        <v>16</v>
      </c>
      <c r="C469" s="0" t="s">
        <v>3360</v>
      </c>
      <c r="D469" s="0" t="s">
        <v>3361</v>
      </c>
      <c r="E469" s="0" t="s">
        <v>3362</v>
      </c>
      <c r="F469" s="0" t="s">
        <v>2655</v>
      </c>
      <c r="G469" s="0" t="s">
        <v>3363</v>
      </c>
      <c r="H469" s="0" t="s">
        <v>22</v>
      </c>
      <c r="I469" s="0" t="s">
        <v>1890</v>
      </c>
    </row>
    <row customHeight="1" ht="11.25">
      <c r="A470" s="1856" t="s">
        <v>2485</v>
      </c>
      <c r="B470" s="1856" t="s">
        <v>16</v>
      </c>
      <c r="C470" s="0" t="s">
        <v>3364</v>
      </c>
      <c r="D470" s="0" t="s">
        <v>3365</v>
      </c>
      <c r="E470" s="0" t="s">
        <v>3366</v>
      </c>
      <c r="F470" s="0" t="s">
        <v>2759</v>
      </c>
      <c r="G470" s="0" t="s">
        <v>22</v>
      </c>
      <c r="H470" s="0" t="s">
        <v>22</v>
      </c>
      <c r="I470" s="0" t="s">
        <v>1890</v>
      </c>
    </row>
    <row customHeight="1" ht="11.25">
      <c r="A471" s="1856" t="s">
        <v>2485</v>
      </c>
      <c r="B471" s="1856" t="s">
        <v>16</v>
      </c>
      <c r="C471" s="0" t="s">
        <v>3367</v>
      </c>
      <c r="D471" s="0" t="s">
        <v>3368</v>
      </c>
      <c r="E471" s="0" t="s">
        <v>3369</v>
      </c>
      <c r="F471" s="0" t="s">
        <v>2492</v>
      </c>
      <c r="G471" s="0" t="s">
        <v>3370</v>
      </c>
      <c r="H471" s="0" t="s">
        <v>22</v>
      </c>
      <c r="I471" s="0" t="s">
        <v>1890</v>
      </c>
    </row>
    <row customHeight="1" ht="11.25">
      <c r="A472" s="1856" t="s">
        <v>2485</v>
      </c>
      <c r="B472" s="1856" t="s">
        <v>16</v>
      </c>
      <c r="C472" s="0" t="s">
        <v>3371</v>
      </c>
      <c r="D472" s="0" t="s">
        <v>3372</v>
      </c>
      <c r="E472" s="0" t="s">
        <v>3373</v>
      </c>
      <c r="F472" s="0" t="s">
        <v>2488</v>
      </c>
      <c r="G472" s="0" t="s">
        <v>3374</v>
      </c>
      <c r="H472" s="0" t="s">
        <v>22</v>
      </c>
      <c r="I472" s="0" t="s">
        <v>1890</v>
      </c>
    </row>
    <row customHeight="1" ht="11.25">
      <c r="A473" s="1856" t="s">
        <v>2485</v>
      </c>
      <c r="B473" s="1856" t="s">
        <v>16</v>
      </c>
      <c r="C473" s="0" t="s">
        <v>3375</v>
      </c>
      <c r="D473" s="0" t="s">
        <v>3376</v>
      </c>
      <c r="E473" s="0" t="s">
        <v>3377</v>
      </c>
      <c r="F473" s="0" t="s">
        <v>2603</v>
      </c>
      <c r="G473" s="0" t="s">
        <v>22</v>
      </c>
      <c r="H473" s="0" t="s">
        <v>22</v>
      </c>
      <c r="I473" s="0" t="s">
        <v>1890</v>
      </c>
    </row>
    <row customHeight="1" ht="11.25">
      <c r="A474" s="1856" t="s">
        <v>2485</v>
      </c>
      <c r="B474" s="1856" t="s">
        <v>16</v>
      </c>
      <c r="C474" s="0" t="s">
        <v>3378</v>
      </c>
      <c r="D474" s="0" t="s">
        <v>3379</v>
      </c>
      <c r="E474" s="0" t="s">
        <v>3380</v>
      </c>
      <c r="F474" s="0" t="s">
        <v>2558</v>
      </c>
      <c r="G474" s="0" t="s">
        <v>22</v>
      </c>
      <c r="H474" s="0" t="s">
        <v>22</v>
      </c>
      <c r="I474" s="0" t="s">
        <v>1890</v>
      </c>
    </row>
    <row customHeight="1" ht="11.25">
      <c r="A475" s="1856" t="s">
        <v>2485</v>
      </c>
      <c r="B475" s="1856" t="s">
        <v>16</v>
      </c>
      <c r="C475" s="0" t="s">
        <v>3381</v>
      </c>
      <c r="D475" s="0" t="s">
        <v>3382</v>
      </c>
      <c r="E475" s="0" t="s">
        <v>3383</v>
      </c>
      <c r="F475" s="0" t="s">
        <v>2525</v>
      </c>
      <c r="G475" s="0" t="s">
        <v>3384</v>
      </c>
      <c r="H475" s="0" t="s">
        <v>22</v>
      </c>
      <c r="I475" s="0" t="s">
        <v>1890</v>
      </c>
    </row>
    <row customHeight="1" ht="11.25">
      <c r="A476" s="1856" t="s">
        <v>2485</v>
      </c>
      <c r="B476" s="1856" t="s">
        <v>16</v>
      </c>
      <c r="C476" s="0" t="s">
        <v>3167</v>
      </c>
      <c r="D476" s="0" t="s">
        <v>3168</v>
      </c>
      <c r="E476" s="0" t="s">
        <v>3169</v>
      </c>
      <c r="F476" s="0" t="s">
        <v>2682</v>
      </c>
      <c r="G476" s="0" t="s">
        <v>22</v>
      </c>
      <c r="H476" s="0" t="s">
        <v>22</v>
      </c>
      <c r="I476" s="0" t="s">
        <v>1890</v>
      </c>
    </row>
    <row customHeight="1" ht="11.25">
      <c r="A477" s="1856" t="s">
        <v>2485</v>
      </c>
      <c r="B477" s="1856" t="s">
        <v>16</v>
      </c>
      <c r="C477" s="0" t="s">
        <v>3385</v>
      </c>
      <c r="D477" s="0" t="s">
        <v>3386</v>
      </c>
      <c r="E477" s="0" t="s">
        <v>3387</v>
      </c>
      <c r="F477" s="0" t="s">
        <v>2488</v>
      </c>
      <c r="G477" s="0" t="s">
        <v>3388</v>
      </c>
      <c r="H477" s="0" t="s">
        <v>22</v>
      </c>
      <c r="I477" s="0" t="s">
        <v>1890</v>
      </c>
    </row>
    <row customHeight="1" ht="11.25">
      <c r="A478" s="1856" t="s">
        <v>2485</v>
      </c>
      <c r="B478" s="1856" t="s">
        <v>16</v>
      </c>
      <c r="C478" s="0" t="s">
        <v>3389</v>
      </c>
      <c r="D478" s="0" t="s">
        <v>3390</v>
      </c>
      <c r="E478" s="0" t="s">
        <v>3391</v>
      </c>
      <c r="F478" s="0" t="s">
        <v>2703</v>
      </c>
      <c r="G478" s="0" t="s">
        <v>3392</v>
      </c>
      <c r="H478" s="0" t="s">
        <v>22</v>
      </c>
      <c r="I478" s="0" t="s">
        <v>1890</v>
      </c>
    </row>
    <row customHeight="1" ht="11.25">
      <c r="A479" s="1856" t="s">
        <v>2485</v>
      </c>
      <c r="B479" s="1856" t="s">
        <v>16</v>
      </c>
      <c r="C479" s="0" t="s">
        <v>3393</v>
      </c>
      <c r="D479" s="0" t="s">
        <v>3394</v>
      </c>
      <c r="E479" s="0" t="s">
        <v>3395</v>
      </c>
      <c r="F479" s="0" t="s">
        <v>2742</v>
      </c>
      <c r="G479" s="0" t="s">
        <v>3396</v>
      </c>
      <c r="H479" s="0" t="s">
        <v>22</v>
      </c>
      <c r="I479" s="0" t="s">
        <v>1890</v>
      </c>
    </row>
    <row customHeight="1" ht="11.25">
      <c r="A480" s="1856" t="s">
        <v>2485</v>
      </c>
      <c r="B480" s="1856" t="s">
        <v>16</v>
      </c>
      <c r="C480" s="0" t="s">
        <v>3397</v>
      </c>
      <c r="D480" s="0" t="s">
        <v>3398</v>
      </c>
      <c r="E480" s="0" t="s">
        <v>3399</v>
      </c>
      <c r="F480" s="0" t="s">
        <v>2505</v>
      </c>
      <c r="G480" s="0" t="s">
        <v>3400</v>
      </c>
      <c r="H480" s="0" t="s">
        <v>22</v>
      </c>
      <c r="I480" s="0" t="s">
        <v>1890</v>
      </c>
    </row>
    <row customHeight="1" ht="11.25">
      <c r="A481" s="1856" t="s">
        <v>2485</v>
      </c>
      <c r="B481" s="1856" t="s">
        <v>16</v>
      </c>
      <c r="C481" s="0" t="s">
        <v>3401</v>
      </c>
      <c r="D481" s="0" t="s">
        <v>3402</v>
      </c>
      <c r="E481" s="0" t="s">
        <v>3403</v>
      </c>
      <c r="F481" s="0" t="s">
        <v>2634</v>
      </c>
      <c r="G481" s="0" t="s">
        <v>3404</v>
      </c>
      <c r="H481" s="0" t="s">
        <v>22</v>
      </c>
      <c r="I481" s="0" t="s">
        <v>1890</v>
      </c>
    </row>
    <row customHeight="1" ht="11.25">
      <c r="A482" s="1856" t="s">
        <v>2485</v>
      </c>
      <c r="B482" s="1856" t="s">
        <v>16</v>
      </c>
      <c r="C482" s="0" t="s">
        <v>3405</v>
      </c>
      <c r="D482" s="0" t="s">
        <v>3406</v>
      </c>
      <c r="E482" s="0" t="s">
        <v>3407</v>
      </c>
      <c r="F482" s="0" t="s">
        <v>2696</v>
      </c>
      <c r="G482" s="0" t="s">
        <v>3408</v>
      </c>
      <c r="H482" s="0" t="s">
        <v>22</v>
      </c>
      <c r="I482" s="0" t="s">
        <v>1890</v>
      </c>
    </row>
    <row customHeight="1" ht="11.25">
      <c r="A483" s="1856" t="s">
        <v>2485</v>
      </c>
      <c r="B483" s="1856" t="s">
        <v>16</v>
      </c>
      <c r="C483" s="0" t="s">
        <v>3409</v>
      </c>
      <c r="D483" s="0" t="s">
        <v>3410</v>
      </c>
      <c r="E483" s="0" t="s">
        <v>3411</v>
      </c>
      <c r="F483" s="0" t="s">
        <v>2549</v>
      </c>
      <c r="G483" s="0" t="s">
        <v>3412</v>
      </c>
      <c r="H483" s="0" t="s">
        <v>22</v>
      </c>
      <c r="I483" s="0" t="s">
        <v>1890</v>
      </c>
    </row>
    <row customHeight="1" ht="11.25">
      <c r="A484" s="1856" t="s">
        <v>2485</v>
      </c>
      <c r="B484" s="1856" t="s">
        <v>16</v>
      </c>
      <c r="C484" s="0" t="s">
        <v>3413</v>
      </c>
      <c r="D484" s="0" t="s">
        <v>3414</v>
      </c>
      <c r="E484" s="0" t="s">
        <v>3415</v>
      </c>
      <c r="F484" s="0" t="s">
        <v>2505</v>
      </c>
      <c r="G484" s="0" t="s">
        <v>22</v>
      </c>
      <c r="H484" s="0" t="s">
        <v>22</v>
      </c>
      <c r="I484" s="0" t="s">
        <v>1890</v>
      </c>
    </row>
    <row customHeight="1" ht="11.25">
      <c r="A485" s="1856" t="s">
        <v>2485</v>
      </c>
      <c r="B485" s="1856" t="s">
        <v>16</v>
      </c>
      <c r="C485" s="0" t="s">
        <v>3416</v>
      </c>
      <c r="D485" s="0" t="s">
        <v>3417</v>
      </c>
      <c r="E485" s="0" t="s">
        <v>3418</v>
      </c>
      <c r="F485" s="0" t="s">
        <v>2696</v>
      </c>
      <c r="G485" s="0" t="s">
        <v>3419</v>
      </c>
      <c r="H485" s="0" t="s">
        <v>22</v>
      </c>
      <c r="I485" s="0" t="s">
        <v>1890</v>
      </c>
    </row>
    <row customHeight="1" ht="11.25">
      <c r="A486" s="1856" t="s">
        <v>2485</v>
      </c>
      <c r="B486" s="1856" t="s">
        <v>16</v>
      </c>
      <c r="C486" s="0" t="s">
        <v>3420</v>
      </c>
      <c r="D486" s="0" t="s">
        <v>3421</v>
      </c>
      <c r="E486" s="0" t="s">
        <v>3422</v>
      </c>
      <c r="F486" s="0" t="s">
        <v>2537</v>
      </c>
      <c r="G486" s="0" t="s">
        <v>3423</v>
      </c>
      <c r="H486" s="0" t="s">
        <v>22</v>
      </c>
      <c r="I486" s="0" t="s">
        <v>1890</v>
      </c>
    </row>
    <row customHeight="1" ht="11.25">
      <c r="A487" s="1856" t="s">
        <v>2485</v>
      </c>
      <c r="B487" s="1856" t="s">
        <v>16</v>
      </c>
      <c r="C487" s="0" t="s">
        <v>3424</v>
      </c>
      <c r="D487" s="0" t="s">
        <v>3425</v>
      </c>
      <c r="E487" s="0" t="s">
        <v>3426</v>
      </c>
      <c r="F487" s="0" t="s">
        <v>2492</v>
      </c>
      <c r="G487" s="0" t="s">
        <v>3427</v>
      </c>
      <c r="H487" s="0" t="s">
        <v>22</v>
      </c>
      <c r="I487" s="0" t="s">
        <v>1890</v>
      </c>
    </row>
    <row customHeight="1" ht="11.25">
      <c r="A488" s="1856" t="s">
        <v>2485</v>
      </c>
      <c r="B488" s="1856" t="s">
        <v>16</v>
      </c>
      <c r="C488" s="0" t="s">
        <v>3428</v>
      </c>
      <c r="D488" s="0" t="s">
        <v>3429</v>
      </c>
      <c r="E488" s="0" t="s">
        <v>3430</v>
      </c>
      <c r="F488" s="0" t="s">
        <v>2492</v>
      </c>
      <c r="G488" s="0" t="s">
        <v>3431</v>
      </c>
      <c r="H488" s="0" t="s">
        <v>22</v>
      </c>
      <c r="I488" s="0" t="s">
        <v>1890</v>
      </c>
    </row>
    <row customHeight="1" ht="11.25">
      <c r="A489" s="1856" t="s">
        <v>2485</v>
      </c>
      <c r="B489" s="1856" t="s">
        <v>16</v>
      </c>
      <c r="C489" s="0" t="s">
        <v>3432</v>
      </c>
      <c r="D489" s="0" t="s">
        <v>3433</v>
      </c>
      <c r="E489" s="0" t="s">
        <v>3434</v>
      </c>
      <c r="F489" s="0" t="s">
        <v>2626</v>
      </c>
      <c r="G489" s="0" t="s">
        <v>3435</v>
      </c>
      <c r="H489" s="0" t="s">
        <v>22</v>
      </c>
      <c r="I489" s="0" t="s">
        <v>1890</v>
      </c>
    </row>
    <row customHeight="1" ht="11.25">
      <c r="A490" s="1856" t="s">
        <v>2485</v>
      </c>
      <c r="B490" s="1856" t="s">
        <v>16</v>
      </c>
      <c r="C490" s="0" t="s">
        <v>3436</v>
      </c>
      <c r="D490" s="0" t="s">
        <v>3437</v>
      </c>
      <c r="E490" s="0" t="s">
        <v>3438</v>
      </c>
      <c r="F490" s="0" t="s">
        <v>3217</v>
      </c>
      <c r="G490" s="0" t="s">
        <v>3439</v>
      </c>
      <c r="H490" s="0" t="s">
        <v>22</v>
      </c>
      <c r="I490" s="0" t="s">
        <v>1890</v>
      </c>
    </row>
    <row customHeight="1" ht="11.25">
      <c r="A491" s="1856" t="s">
        <v>2485</v>
      </c>
      <c r="B491" s="1856" t="s">
        <v>16</v>
      </c>
      <c r="C491" s="0" t="s">
        <v>3440</v>
      </c>
      <c r="D491" s="0" t="s">
        <v>3441</v>
      </c>
      <c r="E491" s="0" t="s">
        <v>3442</v>
      </c>
      <c r="F491" s="0" t="s">
        <v>2558</v>
      </c>
      <c r="G491" s="0" t="s">
        <v>22</v>
      </c>
      <c r="H491" s="0" t="s">
        <v>22</v>
      </c>
      <c r="I491" s="0" t="s">
        <v>1890</v>
      </c>
    </row>
    <row customHeight="1" ht="11.25">
      <c r="A492" s="1856" t="s">
        <v>2485</v>
      </c>
      <c r="B492" s="1856" t="s">
        <v>16</v>
      </c>
      <c r="C492" s="0" t="s">
        <v>3443</v>
      </c>
      <c r="D492" s="0" t="s">
        <v>3444</v>
      </c>
      <c r="E492" s="0" t="s">
        <v>3445</v>
      </c>
      <c r="F492" s="0" t="s">
        <v>2672</v>
      </c>
      <c r="G492" s="0" t="s">
        <v>22</v>
      </c>
      <c r="H492" s="0" t="s">
        <v>22</v>
      </c>
      <c r="I492" s="0" t="s">
        <v>1890</v>
      </c>
    </row>
    <row customHeight="1" ht="11.25">
      <c r="A493" s="1856" t="s">
        <v>2485</v>
      </c>
      <c r="B493" s="1856" t="s">
        <v>16</v>
      </c>
      <c r="C493" s="0" t="s">
        <v>3446</v>
      </c>
      <c r="D493" s="0" t="s">
        <v>3447</v>
      </c>
      <c r="E493" s="0" t="s">
        <v>3448</v>
      </c>
      <c r="F493" s="0" t="s">
        <v>2492</v>
      </c>
      <c r="G493" s="0" t="s">
        <v>22</v>
      </c>
      <c r="H493" s="0" t="s">
        <v>22</v>
      </c>
      <c r="I493" s="0" t="s">
        <v>1890</v>
      </c>
    </row>
    <row customHeight="1" ht="11.25">
      <c r="A494" s="1856" t="s">
        <v>2485</v>
      </c>
      <c r="B494" s="1856" t="s">
        <v>16</v>
      </c>
      <c r="C494" s="0" t="s">
        <v>3449</v>
      </c>
      <c r="D494" s="0" t="s">
        <v>3450</v>
      </c>
      <c r="E494" s="0" t="s">
        <v>3451</v>
      </c>
      <c r="F494" s="0" t="s">
        <v>2903</v>
      </c>
      <c r="G494" s="0" t="s">
        <v>22</v>
      </c>
      <c r="H494" s="0" t="s">
        <v>22</v>
      </c>
      <c r="I494" s="0" t="s">
        <v>1890</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5265F7-4485-53FE-B05C-0.8DCABFBB}" mc:Ignorable="x14ac xr xr2 xr3">
  <sheetPr>
    <tabColor rgb="FFFFCC99"/>
  </sheetPr>
  <dimension ref="A1:G115"/>
  <sheetViews>
    <sheetView topLeftCell="A1" showGridLines="0" workbookViewId="0">
      <selection activeCell="A1" sqref="A1"/>
    </sheetView>
  </sheetViews>
  <sheetFormatPr customHeight="1" defaultRowHeight="11.25"/>
  <cols>
    <col min="1" max="1" style="1856" width="9.140625"/>
  </cols>
  <sheetData>
    <row customHeight="1" ht="11.25">
      <c r="A1" s="382" t="s">
        <v>3452</v>
      </c>
      <c r="B1" s="73" t="s">
        <v>3453</v>
      </c>
      <c r="C1" s="71" t="s">
        <v>3454</v>
      </c>
      <c r="D1" s="71" t="s">
        <v>3455</v>
      </c>
      <c r="E1" s="71" t="s">
        <v>3456</v>
      </c>
      <c r="F1" s="71" t="s">
        <v>3457</v>
      </c>
      <c r="G1" s="71" t="s">
        <v>3458</v>
      </c>
    </row>
    <row customHeight="1" ht="11.25">
      <c r="A2" s="382" t="s">
        <v>16</v>
      </c>
      <c r="B2" s="0" t="s">
        <v>3459</v>
      </c>
      <c r="C2" s="0" t="s">
        <v>3460</v>
      </c>
      <c r="D2" s="0" t="s">
        <v>3459</v>
      </c>
      <c r="E2" s="0" t="s">
        <v>3460</v>
      </c>
      <c r="F2" s="0" t="s">
        <v>3461</v>
      </c>
      <c r="G2" s="0" t="s">
        <v>118</v>
      </c>
    </row>
    <row customHeight="1" ht="11.25">
      <c r="A3" s="1856" t="s">
        <v>16</v>
      </c>
      <c r="B3" s="0" t="s">
        <v>3462</v>
      </c>
      <c r="C3" s="0" t="s">
        <v>3463</v>
      </c>
      <c r="D3" s="0" t="s">
        <v>3462</v>
      </c>
      <c r="E3" s="0" t="s">
        <v>3463</v>
      </c>
      <c r="F3" s="0" t="s">
        <v>3464</v>
      </c>
      <c r="G3" s="0" t="s">
        <v>103</v>
      </c>
    </row>
    <row customHeight="1" ht="11.25">
      <c r="A4" s="1856" t="s">
        <v>16</v>
      </c>
      <c r="B4" s="0" t="s">
        <v>100</v>
      </c>
      <c r="C4" s="0" t="s">
        <v>101</v>
      </c>
      <c r="D4" s="0" t="s">
        <v>100</v>
      </c>
      <c r="E4" s="0" t="s">
        <v>101</v>
      </c>
      <c r="F4" s="0" t="s">
        <v>3464</v>
      </c>
      <c r="G4" s="0" t="s">
        <v>91</v>
      </c>
    </row>
    <row customHeight="1" ht="11.25">
      <c r="A5" s="1856" t="s">
        <v>16</v>
      </c>
      <c r="B5" s="0" t="s">
        <v>106</v>
      </c>
      <c r="C5" s="0" t="s">
        <v>107</v>
      </c>
      <c r="D5" s="0" t="s">
        <v>106</v>
      </c>
      <c r="E5" s="0" t="s">
        <v>107</v>
      </c>
      <c r="F5" s="0" t="s">
        <v>3464</v>
      </c>
      <c r="G5" s="0" t="s">
        <v>92</v>
      </c>
    </row>
    <row customHeight="1" ht="11.25">
      <c r="A6" s="1856" t="s">
        <v>16</v>
      </c>
      <c r="B6" s="0" t="s">
        <v>3465</v>
      </c>
      <c r="C6" s="0" t="s">
        <v>3466</v>
      </c>
      <c r="D6" s="0" t="s">
        <v>3465</v>
      </c>
      <c r="E6" s="0" t="s">
        <v>3466</v>
      </c>
      <c r="F6" s="0" t="s">
        <v>3464</v>
      </c>
      <c r="G6" s="0" t="s">
        <v>119</v>
      </c>
    </row>
    <row customHeight="1" ht="11.25">
      <c r="A7" s="1856" t="s">
        <v>16</v>
      </c>
      <c r="B7" s="0" t="s">
        <v>3467</v>
      </c>
      <c r="C7" s="0" t="s">
        <v>3468</v>
      </c>
      <c r="D7" s="0" t="s">
        <v>3467</v>
      </c>
      <c r="E7" s="0" t="s">
        <v>3468</v>
      </c>
      <c r="F7" s="0" t="s">
        <v>3464</v>
      </c>
      <c r="G7" s="0" t="s">
        <v>93</v>
      </c>
    </row>
    <row customHeight="1" ht="11.25">
      <c r="A8" s="1856" t="s">
        <v>16</v>
      </c>
      <c r="B8" s="0" t="s">
        <v>3469</v>
      </c>
      <c r="C8" s="0" t="s">
        <v>3470</v>
      </c>
      <c r="D8" s="0" t="s">
        <v>3469</v>
      </c>
      <c r="E8" s="0" t="s">
        <v>3470</v>
      </c>
      <c r="F8" s="0" t="s">
        <v>3461</v>
      </c>
      <c r="G8" s="0" t="s">
        <v>94</v>
      </c>
    </row>
    <row customHeight="1" ht="11.25">
      <c r="A9" s="1856" t="s">
        <v>16</v>
      </c>
      <c r="B9" s="0" t="s">
        <v>3471</v>
      </c>
      <c r="C9" s="0" t="s">
        <v>3472</v>
      </c>
      <c r="D9" s="0" t="s">
        <v>3471</v>
      </c>
      <c r="E9" s="0" t="s">
        <v>3472</v>
      </c>
      <c r="F9" s="0" t="s">
        <v>3464</v>
      </c>
      <c r="G9" s="0" t="s">
        <v>120</v>
      </c>
    </row>
    <row customHeight="1" ht="11.25">
      <c r="A10" s="1856" t="s">
        <v>16</v>
      </c>
      <c r="B10" s="0" t="s">
        <v>3473</v>
      </c>
      <c r="C10" s="0" t="s">
        <v>3474</v>
      </c>
      <c r="D10" s="0" t="s">
        <v>3473</v>
      </c>
      <c r="E10" s="0" t="s">
        <v>3474</v>
      </c>
      <c r="F10" s="0" t="s">
        <v>3461</v>
      </c>
      <c r="G10" s="0" t="s">
        <v>165</v>
      </c>
    </row>
    <row customHeight="1" ht="11.25">
      <c r="A11" s="1856" t="s">
        <v>16</v>
      </c>
      <c r="B11" s="0" t="s">
        <v>3475</v>
      </c>
      <c r="C11" s="0" t="s">
        <v>3476</v>
      </c>
      <c r="D11" s="0" t="s">
        <v>3477</v>
      </c>
      <c r="E11" s="0" t="s">
        <v>3478</v>
      </c>
      <c r="F11" s="0" t="s">
        <v>3479</v>
      </c>
      <c r="G11" s="0" t="s">
        <v>166</v>
      </c>
    </row>
    <row customHeight="1" ht="11.25">
      <c r="A12" s="1856" t="s">
        <v>16</v>
      </c>
      <c r="B12" s="0" t="s">
        <v>3475</v>
      </c>
      <c r="C12" s="0" t="s">
        <v>3476</v>
      </c>
      <c r="D12" s="0" t="s">
        <v>3475</v>
      </c>
      <c r="E12" s="0" t="s">
        <v>3476</v>
      </c>
      <c r="F12" s="0" t="s">
        <v>3480</v>
      </c>
      <c r="G12" s="0" t="s">
        <v>167</v>
      </c>
    </row>
    <row customHeight="1" ht="11.25">
      <c r="A13" s="1856" t="s">
        <v>16</v>
      </c>
      <c r="B13" s="0" t="s">
        <v>3475</v>
      </c>
      <c r="C13" s="0" t="s">
        <v>3476</v>
      </c>
      <c r="D13" s="0" t="s">
        <v>3481</v>
      </c>
      <c r="E13" s="0" t="s">
        <v>3482</v>
      </c>
      <c r="F13" s="0" t="s">
        <v>3479</v>
      </c>
      <c r="G13" s="0" t="s">
        <v>168</v>
      </c>
    </row>
    <row customHeight="1" ht="11.25">
      <c r="A14" s="1856" t="s">
        <v>16</v>
      </c>
      <c r="B14" s="0" t="s">
        <v>3475</v>
      </c>
      <c r="C14" s="0" t="s">
        <v>3476</v>
      </c>
      <c r="D14" s="0" t="s">
        <v>3483</v>
      </c>
      <c r="E14" s="0" t="s">
        <v>3484</v>
      </c>
      <c r="F14" s="0" t="s">
        <v>3485</v>
      </c>
      <c r="G14" s="0" t="s">
        <v>169</v>
      </c>
    </row>
    <row customHeight="1" ht="11.25">
      <c r="A15" s="1856" t="s">
        <v>16</v>
      </c>
      <c r="B15" s="0" t="s">
        <v>3475</v>
      </c>
      <c r="C15" s="0" t="s">
        <v>3476</v>
      </c>
      <c r="D15" s="0" t="s">
        <v>3486</v>
      </c>
      <c r="E15" s="0" t="s">
        <v>3487</v>
      </c>
      <c r="F15" s="0" t="s">
        <v>3479</v>
      </c>
      <c r="G15" s="0" t="s">
        <v>170</v>
      </c>
    </row>
    <row customHeight="1" ht="11.25">
      <c r="A16" s="1856" t="s">
        <v>16</v>
      </c>
      <c r="B16" s="0" t="s">
        <v>3475</v>
      </c>
      <c r="C16" s="0" t="s">
        <v>3476</v>
      </c>
      <c r="D16" s="0" t="s">
        <v>3488</v>
      </c>
      <c r="E16" s="0" t="s">
        <v>3489</v>
      </c>
      <c r="F16" s="0" t="s">
        <v>3479</v>
      </c>
      <c r="G16" s="0" t="s">
        <v>1121</v>
      </c>
    </row>
    <row customHeight="1" ht="11.25">
      <c r="A17" s="1856" t="s">
        <v>16</v>
      </c>
      <c r="B17" s="0" t="s">
        <v>3475</v>
      </c>
      <c r="C17" s="0" t="s">
        <v>3476</v>
      </c>
      <c r="D17" s="0" t="s">
        <v>3490</v>
      </c>
      <c r="E17" s="0" t="s">
        <v>3491</v>
      </c>
      <c r="F17" s="0" t="s">
        <v>3479</v>
      </c>
      <c r="G17" s="0" t="s">
        <v>1123</v>
      </c>
    </row>
    <row customHeight="1" ht="11.25">
      <c r="A18" s="1856" t="s">
        <v>16</v>
      </c>
      <c r="B18" s="0" t="s">
        <v>3475</v>
      </c>
      <c r="C18" s="0" t="s">
        <v>3476</v>
      </c>
      <c r="D18" s="0" t="s">
        <v>3492</v>
      </c>
      <c r="E18" s="0" t="s">
        <v>3493</v>
      </c>
      <c r="F18" s="0" t="s">
        <v>3479</v>
      </c>
      <c r="G18" s="0" t="s">
        <v>1126</v>
      </c>
    </row>
    <row customHeight="1" ht="11.25">
      <c r="A19" s="1856" t="s">
        <v>16</v>
      </c>
      <c r="B19" s="0" t="s">
        <v>3494</v>
      </c>
      <c r="C19" s="0" t="s">
        <v>3495</v>
      </c>
      <c r="D19" s="0" t="s">
        <v>3494</v>
      </c>
      <c r="E19" s="0" t="s">
        <v>3495</v>
      </c>
      <c r="F19" s="0" t="s">
        <v>3461</v>
      </c>
      <c r="G19" s="0" t="s">
        <v>1128</v>
      </c>
    </row>
    <row customHeight="1" ht="11.25">
      <c r="A20" s="1856" t="s">
        <v>16</v>
      </c>
      <c r="B20" s="0" t="s">
        <v>3496</v>
      </c>
      <c r="C20" s="0" t="s">
        <v>3497</v>
      </c>
      <c r="D20" s="0" t="s">
        <v>3496</v>
      </c>
      <c r="E20" s="0" t="s">
        <v>3497</v>
      </c>
      <c r="F20" s="0" t="s">
        <v>3461</v>
      </c>
      <c r="G20" s="0" t="s">
        <v>1130</v>
      </c>
    </row>
    <row customHeight="1" ht="11.25">
      <c r="A21" s="1856" t="s">
        <v>16</v>
      </c>
      <c r="B21" s="0" t="s">
        <v>3498</v>
      </c>
      <c r="C21" s="0" t="s">
        <v>3499</v>
      </c>
      <c r="D21" s="0" t="s">
        <v>3500</v>
      </c>
      <c r="E21" s="0" t="s">
        <v>3501</v>
      </c>
      <c r="F21" s="0" t="s">
        <v>3479</v>
      </c>
      <c r="G21" s="0" t="s">
        <v>1132</v>
      </c>
    </row>
    <row customHeight="1" ht="11.25">
      <c r="A22" s="1856" t="s">
        <v>16</v>
      </c>
      <c r="B22" s="0" t="s">
        <v>3498</v>
      </c>
      <c r="C22" s="0" t="s">
        <v>3499</v>
      </c>
      <c r="D22" s="0" t="s">
        <v>3502</v>
      </c>
      <c r="E22" s="0" t="s">
        <v>3503</v>
      </c>
      <c r="F22" s="0" t="s">
        <v>3504</v>
      </c>
      <c r="G22" s="0" t="s">
        <v>1134</v>
      </c>
    </row>
    <row customHeight="1" ht="11.25">
      <c r="A23" s="1856" t="s">
        <v>16</v>
      </c>
      <c r="B23" s="0" t="s">
        <v>3498</v>
      </c>
      <c r="C23" s="0" t="s">
        <v>3499</v>
      </c>
      <c r="D23" s="0" t="s">
        <v>3498</v>
      </c>
      <c r="E23" s="0" t="s">
        <v>3499</v>
      </c>
      <c r="F23" s="0" t="s">
        <v>3480</v>
      </c>
      <c r="G23" s="0" t="s">
        <v>1080</v>
      </c>
    </row>
    <row customHeight="1" ht="11.25">
      <c r="A24" s="1856" t="s">
        <v>16</v>
      </c>
      <c r="B24" s="0" t="s">
        <v>3498</v>
      </c>
      <c r="C24" s="0" t="s">
        <v>3499</v>
      </c>
      <c r="D24" s="0" t="s">
        <v>3505</v>
      </c>
      <c r="E24" s="0" t="s">
        <v>3506</v>
      </c>
      <c r="F24" s="0" t="s">
        <v>3504</v>
      </c>
      <c r="G24" s="0" t="s">
        <v>1110</v>
      </c>
    </row>
    <row customHeight="1" ht="11.25">
      <c r="A25" s="1856" t="s">
        <v>16</v>
      </c>
      <c r="B25" s="0" t="s">
        <v>3498</v>
      </c>
      <c r="C25" s="0" t="s">
        <v>3499</v>
      </c>
      <c r="D25" s="0" t="s">
        <v>3507</v>
      </c>
      <c r="E25" s="0" t="s">
        <v>3508</v>
      </c>
      <c r="F25" s="0" t="s">
        <v>3479</v>
      </c>
      <c r="G25" s="0" t="s">
        <v>1114</v>
      </c>
    </row>
    <row customHeight="1" ht="11.25">
      <c r="A26" s="1856" t="s">
        <v>16</v>
      </c>
      <c r="B26" s="0" t="s">
        <v>3498</v>
      </c>
      <c r="C26" s="0" t="s">
        <v>3499</v>
      </c>
      <c r="D26" s="0" t="s">
        <v>3509</v>
      </c>
      <c r="E26" s="0" t="s">
        <v>3510</v>
      </c>
      <c r="F26" s="0" t="s">
        <v>3485</v>
      </c>
      <c r="G26" s="0" t="s">
        <v>1140</v>
      </c>
    </row>
    <row customHeight="1" ht="11.25">
      <c r="A27" s="1856" t="s">
        <v>16</v>
      </c>
      <c r="B27" s="0" t="s">
        <v>3498</v>
      </c>
      <c r="C27" s="0" t="s">
        <v>3499</v>
      </c>
      <c r="D27" s="0" t="s">
        <v>3511</v>
      </c>
      <c r="E27" s="0" t="s">
        <v>3512</v>
      </c>
      <c r="F27" s="0" t="s">
        <v>3479</v>
      </c>
      <c r="G27" s="0" t="s">
        <v>1142</v>
      </c>
    </row>
    <row customHeight="1" ht="11.25">
      <c r="A28" s="1856" t="s">
        <v>16</v>
      </c>
      <c r="B28" s="0" t="s">
        <v>3498</v>
      </c>
      <c r="C28" s="0" t="s">
        <v>3499</v>
      </c>
      <c r="D28" s="0" t="s">
        <v>3513</v>
      </c>
      <c r="E28" s="0" t="s">
        <v>3514</v>
      </c>
      <c r="F28" s="0" t="s">
        <v>3479</v>
      </c>
      <c r="G28" s="0" t="s">
        <v>1146</v>
      </c>
    </row>
    <row customHeight="1" ht="11.25">
      <c r="A29" s="1856" t="s">
        <v>16</v>
      </c>
      <c r="B29" s="0" t="s">
        <v>3515</v>
      </c>
      <c r="C29" s="0" t="s">
        <v>3516</v>
      </c>
      <c r="D29" s="0" t="s">
        <v>3515</v>
      </c>
      <c r="E29" s="0" t="s">
        <v>3516</v>
      </c>
      <c r="F29" s="0" t="s">
        <v>3461</v>
      </c>
      <c r="G29" s="0" t="s">
        <v>1149</v>
      </c>
    </row>
    <row customHeight="1" ht="11.25">
      <c r="A30" s="1856" t="s">
        <v>16</v>
      </c>
      <c r="B30" s="0" t="s">
        <v>3517</v>
      </c>
      <c r="C30" s="0" t="s">
        <v>3518</v>
      </c>
      <c r="D30" s="0" t="s">
        <v>3519</v>
      </c>
      <c r="E30" s="0" t="s">
        <v>3520</v>
      </c>
      <c r="F30" s="0" t="s">
        <v>3504</v>
      </c>
      <c r="G30" s="0" t="s">
        <v>1103</v>
      </c>
    </row>
    <row customHeight="1" ht="11.25">
      <c r="A31" s="1856" t="s">
        <v>16</v>
      </c>
      <c r="B31" s="0" t="s">
        <v>3517</v>
      </c>
      <c r="C31" s="0" t="s">
        <v>3518</v>
      </c>
      <c r="D31" s="0" t="s">
        <v>3521</v>
      </c>
      <c r="E31" s="0" t="s">
        <v>3522</v>
      </c>
      <c r="F31" s="0" t="s">
        <v>3479</v>
      </c>
      <c r="G31" s="0" t="s">
        <v>1152</v>
      </c>
    </row>
    <row customHeight="1" ht="11.25">
      <c r="A32" s="1856" t="s">
        <v>16</v>
      </c>
      <c r="B32" s="0" t="s">
        <v>3517</v>
      </c>
      <c r="C32" s="0" t="s">
        <v>3518</v>
      </c>
      <c r="D32" s="0" t="s">
        <v>3523</v>
      </c>
      <c r="E32" s="0" t="s">
        <v>3524</v>
      </c>
      <c r="F32" s="0" t="s">
        <v>3479</v>
      </c>
      <c r="G32" s="0" t="s">
        <v>1154</v>
      </c>
    </row>
    <row customHeight="1" ht="11.25">
      <c r="A33" s="1856" t="s">
        <v>16</v>
      </c>
      <c r="B33" s="0" t="s">
        <v>3517</v>
      </c>
      <c r="C33" s="0" t="s">
        <v>3518</v>
      </c>
      <c r="D33" s="0" t="s">
        <v>3525</v>
      </c>
      <c r="E33" s="0" t="s">
        <v>3526</v>
      </c>
      <c r="F33" s="0" t="s">
        <v>3479</v>
      </c>
      <c r="G33" s="0" t="s">
        <v>1156</v>
      </c>
    </row>
    <row customHeight="1" ht="11.25">
      <c r="A34" s="1856" t="s">
        <v>16</v>
      </c>
      <c r="B34" s="0" t="s">
        <v>3517</v>
      </c>
      <c r="C34" s="0" t="s">
        <v>3518</v>
      </c>
      <c r="D34" s="0" t="s">
        <v>3527</v>
      </c>
      <c r="E34" s="0" t="s">
        <v>3528</v>
      </c>
      <c r="F34" s="0" t="s">
        <v>3479</v>
      </c>
      <c r="G34" s="0" t="s">
        <v>1159</v>
      </c>
    </row>
    <row customHeight="1" ht="11.25">
      <c r="A35" s="1856" t="s">
        <v>16</v>
      </c>
      <c r="B35" s="0" t="s">
        <v>3517</v>
      </c>
      <c r="C35" s="0" t="s">
        <v>3518</v>
      </c>
      <c r="D35" s="0" t="s">
        <v>3517</v>
      </c>
      <c r="E35" s="0" t="s">
        <v>3518</v>
      </c>
      <c r="F35" s="0" t="s">
        <v>3480</v>
      </c>
      <c r="G35" s="0" t="s">
        <v>1161</v>
      </c>
    </row>
    <row customHeight="1" ht="11.25">
      <c r="A36" s="1856" t="s">
        <v>16</v>
      </c>
      <c r="B36" s="0" t="s">
        <v>3517</v>
      </c>
      <c r="C36" s="0" t="s">
        <v>3518</v>
      </c>
      <c r="D36" s="0" t="s">
        <v>3529</v>
      </c>
      <c r="E36" s="0" t="s">
        <v>3530</v>
      </c>
      <c r="F36" s="0" t="s">
        <v>3479</v>
      </c>
      <c r="G36" s="0" t="s">
        <v>1166</v>
      </c>
    </row>
    <row customHeight="1" ht="11.25">
      <c r="A37" s="1856" t="s">
        <v>16</v>
      </c>
      <c r="B37" s="0" t="s">
        <v>3517</v>
      </c>
      <c r="C37" s="0" t="s">
        <v>3518</v>
      </c>
      <c r="D37" s="0" t="s">
        <v>3531</v>
      </c>
      <c r="E37" s="0" t="s">
        <v>3532</v>
      </c>
      <c r="F37" s="0" t="s">
        <v>3479</v>
      </c>
      <c r="G37" s="0" t="s">
        <v>1170</v>
      </c>
    </row>
    <row customHeight="1" ht="11.25">
      <c r="A38" s="1856" t="s">
        <v>16</v>
      </c>
      <c r="B38" s="0" t="s">
        <v>3517</v>
      </c>
      <c r="C38" s="0" t="s">
        <v>3518</v>
      </c>
      <c r="D38" s="0" t="s">
        <v>3533</v>
      </c>
      <c r="E38" s="0" t="s">
        <v>3534</v>
      </c>
      <c r="F38" s="0" t="s">
        <v>3479</v>
      </c>
      <c r="G38" s="0" t="s">
        <v>1172</v>
      </c>
    </row>
    <row customHeight="1" ht="11.25">
      <c r="A39" s="1856" t="s">
        <v>16</v>
      </c>
      <c r="B39" s="0" t="s">
        <v>3517</v>
      </c>
      <c r="C39" s="0" t="s">
        <v>3518</v>
      </c>
      <c r="D39" s="0" t="s">
        <v>3535</v>
      </c>
      <c r="E39" s="0" t="s">
        <v>3536</v>
      </c>
      <c r="F39" s="0" t="s">
        <v>3479</v>
      </c>
      <c r="G39" s="0" t="s">
        <v>1175</v>
      </c>
    </row>
    <row customHeight="1" ht="11.25">
      <c r="A40" s="1856" t="s">
        <v>16</v>
      </c>
      <c r="B40" s="0" t="s">
        <v>3517</v>
      </c>
      <c r="C40" s="0" t="s">
        <v>3518</v>
      </c>
      <c r="D40" s="0" t="s">
        <v>3537</v>
      </c>
      <c r="E40" s="0" t="s">
        <v>3538</v>
      </c>
      <c r="F40" s="0" t="s">
        <v>3479</v>
      </c>
      <c r="G40" s="0" t="s">
        <v>1178</v>
      </c>
    </row>
    <row customHeight="1" ht="11.25">
      <c r="A41" s="1856" t="s">
        <v>16</v>
      </c>
      <c r="B41" s="0" t="s">
        <v>3539</v>
      </c>
      <c r="C41" s="0" t="s">
        <v>3540</v>
      </c>
      <c r="D41" s="0" t="s">
        <v>3539</v>
      </c>
      <c r="E41" s="0" t="s">
        <v>3540</v>
      </c>
      <c r="F41" s="0" t="s">
        <v>3461</v>
      </c>
      <c r="G41" s="0" t="s">
        <v>1180</v>
      </c>
    </row>
    <row customHeight="1" ht="11.25">
      <c r="A42" s="1856" t="s">
        <v>16</v>
      </c>
      <c r="B42" s="0" t="s">
        <v>3541</v>
      </c>
      <c r="C42" s="0" t="s">
        <v>3542</v>
      </c>
      <c r="D42" s="0" t="s">
        <v>3541</v>
      </c>
      <c r="E42" s="0" t="s">
        <v>3542</v>
      </c>
      <c r="F42" s="0" t="s">
        <v>3464</v>
      </c>
      <c r="G42" s="0" t="s">
        <v>1182</v>
      </c>
    </row>
    <row customHeight="1" ht="11.25">
      <c r="A43" s="1856" t="s">
        <v>16</v>
      </c>
      <c r="B43" s="0" t="s">
        <v>3543</v>
      </c>
      <c r="C43" s="0" t="s">
        <v>3544</v>
      </c>
      <c r="D43" s="0" t="s">
        <v>3543</v>
      </c>
      <c r="E43" s="0" t="s">
        <v>3544</v>
      </c>
      <c r="F43" s="0" t="s">
        <v>3461</v>
      </c>
      <c r="G43" s="0" t="s">
        <v>1184</v>
      </c>
    </row>
    <row customHeight="1" ht="11.25">
      <c r="A44" s="1856" t="s">
        <v>16</v>
      </c>
      <c r="B44" s="0" t="s">
        <v>3545</v>
      </c>
      <c r="C44" s="0" t="s">
        <v>3546</v>
      </c>
      <c r="D44" s="0" t="s">
        <v>3545</v>
      </c>
      <c r="E44" s="0" t="s">
        <v>3546</v>
      </c>
      <c r="F44" s="0" t="s">
        <v>3461</v>
      </c>
      <c r="G44" s="0" t="s">
        <v>1186</v>
      </c>
    </row>
    <row customHeight="1" ht="11.25">
      <c r="A45" s="1856" t="s">
        <v>16</v>
      </c>
      <c r="B45" s="0" t="s">
        <v>3547</v>
      </c>
      <c r="C45" s="0" t="s">
        <v>3548</v>
      </c>
      <c r="D45" s="0" t="s">
        <v>3549</v>
      </c>
      <c r="E45" s="0" t="s">
        <v>3550</v>
      </c>
      <c r="F45" s="0" t="s">
        <v>3479</v>
      </c>
      <c r="G45" s="0" t="s">
        <v>1188</v>
      </c>
    </row>
    <row customHeight="1" ht="11.25">
      <c r="A46" s="1856" t="s">
        <v>16</v>
      </c>
      <c r="B46" s="0" t="s">
        <v>3547</v>
      </c>
      <c r="C46" s="0" t="s">
        <v>3548</v>
      </c>
      <c r="D46" s="0" t="s">
        <v>3551</v>
      </c>
      <c r="E46" s="0" t="s">
        <v>3552</v>
      </c>
      <c r="F46" s="0" t="s">
        <v>3479</v>
      </c>
      <c r="G46" s="0" t="s">
        <v>1190</v>
      </c>
    </row>
    <row customHeight="1" ht="11.25">
      <c r="A47" s="1856" t="s">
        <v>16</v>
      </c>
      <c r="B47" s="0" t="s">
        <v>3547</v>
      </c>
      <c r="C47" s="0" t="s">
        <v>3548</v>
      </c>
      <c r="D47" s="0" t="s">
        <v>3553</v>
      </c>
      <c r="E47" s="0" t="s">
        <v>3554</v>
      </c>
      <c r="F47" s="0" t="s">
        <v>3479</v>
      </c>
      <c r="G47" s="0" t="s">
        <v>1192</v>
      </c>
    </row>
    <row customHeight="1" ht="11.25">
      <c r="A48" s="1856" t="s">
        <v>16</v>
      </c>
      <c r="B48" s="0" t="s">
        <v>3547</v>
      </c>
      <c r="C48" s="0" t="s">
        <v>3548</v>
      </c>
      <c r="D48" s="0" t="s">
        <v>3547</v>
      </c>
      <c r="E48" s="0" t="s">
        <v>3548</v>
      </c>
      <c r="F48" s="0" t="s">
        <v>3480</v>
      </c>
      <c r="G48" s="0" t="s">
        <v>1099</v>
      </c>
    </row>
    <row customHeight="1" ht="11.25">
      <c r="A49" s="1856" t="s">
        <v>16</v>
      </c>
      <c r="B49" s="0" t="s">
        <v>3547</v>
      </c>
      <c r="C49" s="0" t="s">
        <v>3548</v>
      </c>
      <c r="D49" s="0" t="s">
        <v>3555</v>
      </c>
      <c r="E49" s="0" t="s">
        <v>3556</v>
      </c>
      <c r="F49" s="0" t="s">
        <v>3479</v>
      </c>
      <c r="G49" s="0" t="s">
        <v>1196</v>
      </c>
    </row>
    <row customHeight="1" ht="11.25">
      <c r="A50" s="1856" t="s">
        <v>16</v>
      </c>
      <c r="B50" s="0" t="s">
        <v>3547</v>
      </c>
      <c r="C50" s="0" t="s">
        <v>3548</v>
      </c>
      <c r="D50" s="0" t="s">
        <v>3557</v>
      </c>
      <c r="E50" s="0" t="s">
        <v>3558</v>
      </c>
      <c r="F50" s="0" t="s">
        <v>3504</v>
      </c>
      <c r="G50" s="0" t="s">
        <v>1198</v>
      </c>
    </row>
    <row customHeight="1" ht="11.25">
      <c r="A51" s="1856" t="s">
        <v>16</v>
      </c>
      <c r="B51" s="0" t="s">
        <v>3547</v>
      </c>
      <c r="C51" s="0" t="s">
        <v>3548</v>
      </c>
      <c r="D51" s="0" t="s">
        <v>3559</v>
      </c>
      <c r="E51" s="0" t="s">
        <v>3560</v>
      </c>
      <c r="F51" s="0" t="s">
        <v>3479</v>
      </c>
      <c r="G51" s="0" t="s">
        <v>1200</v>
      </c>
    </row>
    <row customHeight="1" ht="11.25">
      <c r="A52" s="1856" t="s">
        <v>16</v>
      </c>
      <c r="B52" s="0" t="s">
        <v>3547</v>
      </c>
      <c r="C52" s="0" t="s">
        <v>3548</v>
      </c>
      <c r="D52" s="0" t="s">
        <v>3561</v>
      </c>
      <c r="E52" s="0" t="s">
        <v>3562</v>
      </c>
      <c r="F52" s="0" t="s">
        <v>3479</v>
      </c>
      <c r="G52" s="0" t="s">
        <v>1202</v>
      </c>
    </row>
    <row customHeight="1" ht="11.25">
      <c r="A53" s="1856" t="s">
        <v>16</v>
      </c>
      <c r="B53" s="0" t="s">
        <v>3563</v>
      </c>
      <c r="C53" s="0" t="s">
        <v>3564</v>
      </c>
      <c r="D53" s="0" t="s">
        <v>3563</v>
      </c>
      <c r="E53" s="0" t="s">
        <v>3564</v>
      </c>
      <c r="F53" s="0" t="s">
        <v>3461</v>
      </c>
      <c r="G53" s="0" t="s">
        <v>1204</v>
      </c>
    </row>
    <row customHeight="1" ht="11.25">
      <c r="A54" s="1856" t="s">
        <v>16</v>
      </c>
      <c r="B54" s="0" t="s">
        <v>3565</v>
      </c>
      <c r="C54" s="0" t="s">
        <v>3566</v>
      </c>
      <c r="D54" s="0" t="s">
        <v>3565</v>
      </c>
      <c r="E54" s="0" t="s">
        <v>3566</v>
      </c>
      <c r="F54" s="0" t="s">
        <v>3480</v>
      </c>
      <c r="G54" s="0" t="s">
        <v>1206</v>
      </c>
    </row>
    <row customHeight="1" ht="11.25">
      <c r="A55" s="1856" t="s">
        <v>16</v>
      </c>
      <c r="B55" s="0" t="s">
        <v>3565</v>
      </c>
      <c r="C55" s="0" t="s">
        <v>3566</v>
      </c>
      <c r="D55" s="0" t="s">
        <v>3567</v>
      </c>
      <c r="E55" s="0" t="s">
        <v>3568</v>
      </c>
      <c r="F55" s="0" t="s">
        <v>3479</v>
      </c>
      <c r="G55" s="0" t="s">
        <v>1209</v>
      </c>
    </row>
    <row customHeight="1" ht="11.25">
      <c r="A56" s="1856" t="s">
        <v>16</v>
      </c>
      <c r="B56" s="0" t="s">
        <v>3565</v>
      </c>
      <c r="C56" s="0" t="s">
        <v>3566</v>
      </c>
      <c r="D56" s="0" t="s">
        <v>3569</v>
      </c>
      <c r="E56" s="0" t="s">
        <v>3570</v>
      </c>
      <c r="F56" s="0" t="s">
        <v>3479</v>
      </c>
      <c r="G56" s="0" t="s">
        <v>1211</v>
      </c>
    </row>
    <row customHeight="1" ht="11.25">
      <c r="A57" s="1856" t="s">
        <v>16</v>
      </c>
      <c r="B57" s="0" t="s">
        <v>3565</v>
      </c>
      <c r="C57" s="0" t="s">
        <v>3566</v>
      </c>
      <c r="D57" s="0" t="s">
        <v>3571</v>
      </c>
      <c r="E57" s="0" t="s">
        <v>3572</v>
      </c>
      <c r="F57" s="0" t="s">
        <v>3479</v>
      </c>
      <c r="G57" s="0" t="s">
        <v>1213</v>
      </c>
    </row>
    <row customHeight="1" ht="11.25">
      <c r="A58" s="1856" t="s">
        <v>16</v>
      </c>
      <c r="B58" s="0" t="s">
        <v>3573</v>
      </c>
      <c r="C58" s="0" t="s">
        <v>3574</v>
      </c>
      <c r="D58" s="0" t="s">
        <v>3573</v>
      </c>
      <c r="E58" s="0" t="s">
        <v>3574</v>
      </c>
      <c r="F58" s="0" t="s">
        <v>3464</v>
      </c>
      <c r="G58" s="0" t="s">
        <v>1216</v>
      </c>
    </row>
    <row customHeight="1" ht="11.25">
      <c r="A59" s="1856" t="s">
        <v>16</v>
      </c>
      <c r="B59" s="0" t="s">
        <v>3575</v>
      </c>
      <c r="C59" s="0" t="s">
        <v>3576</v>
      </c>
      <c r="D59" s="0" t="s">
        <v>3575</v>
      </c>
      <c r="E59" s="0" t="s">
        <v>3576</v>
      </c>
      <c r="F59" s="0" t="s">
        <v>3461</v>
      </c>
      <c r="G59" s="0" t="s">
        <v>1218</v>
      </c>
    </row>
    <row customHeight="1" ht="11.25">
      <c r="A60" s="1856" t="s">
        <v>16</v>
      </c>
      <c r="B60" s="0" t="s">
        <v>3577</v>
      </c>
      <c r="C60" s="0" t="s">
        <v>3578</v>
      </c>
      <c r="D60" s="0" t="s">
        <v>3577</v>
      </c>
      <c r="E60" s="0" t="s">
        <v>3578</v>
      </c>
      <c r="F60" s="0" t="s">
        <v>3461</v>
      </c>
      <c r="G60" s="0" t="s">
        <v>1220</v>
      </c>
    </row>
    <row customHeight="1" ht="11.25">
      <c r="A61" s="1856" t="s">
        <v>16</v>
      </c>
      <c r="B61" s="0" t="s">
        <v>110</v>
      </c>
      <c r="C61" s="0" t="s">
        <v>111</v>
      </c>
      <c r="D61" s="0" t="s">
        <v>110</v>
      </c>
      <c r="E61" s="0" t="s">
        <v>111</v>
      </c>
      <c r="F61" s="0" t="s">
        <v>3464</v>
      </c>
      <c r="G61" s="0" t="s">
        <v>109</v>
      </c>
    </row>
    <row customHeight="1" ht="11.25">
      <c r="A62" s="1856" t="s">
        <v>16</v>
      </c>
      <c r="B62" s="0" t="s">
        <v>3579</v>
      </c>
      <c r="C62" s="0" t="s">
        <v>3580</v>
      </c>
      <c r="D62" s="0" t="s">
        <v>3579</v>
      </c>
      <c r="E62" s="0" t="s">
        <v>3580</v>
      </c>
      <c r="F62" s="0" t="s">
        <v>3461</v>
      </c>
      <c r="G62" s="0" t="s">
        <v>1223</v>
      </c>
    </row>
    <row customHeight="1" ht="11.25">
      <c r="A63" s="1856" t="s">
        <v>16</v>
      </c>
      <c r="B63" s="0" t="s">
        <v>3581</v>
      </c>
      <c r="C63" s="0" t="s">
        <v>3582</v>
      </c>
      <c r="D63" s="0" t="s">
        <v>3583</v>
      </c>
      <c r="E63" s="0" t="s">
        <v>3584</v>
      </c>
      <c r="F63" s="0" t="s">
        <v>3479</v>
      </c>
      <c r="G63" s="0" t="s">
        <v>1225</v>
      </c>
    </row>
    <row customHeight="1" ht="11.25">
      <c r="A64" s="1856" t="s">
        <v>16</v>
      </c>
      <c r="B64" s="0" t="s">
        <v>3581</v>
      </c>
      <c r="C64" s="0" t="s">
        <v>3582</v>
      </c>
      <c r="D64" s="0" t="s">
        <v>3585</v>
      </c>
      <c r="E64" s="0" t="s">
        <v>3586</v>
      </c>
      <c r="F64" s="0" t="s">
        <v>3479</v>
      </c>
      <c r="G64" s="0" t="s">
        <v>1227</v>
      </c>
    </row>
    <row customHeight="1" ht="11.25">
      <c r="A65" s="1856" t="s">
        <v>16</v>
      </c>
      <c r="B65" s="0" t="s">
        <v>3581</v>
      </c>
      <c r="C65" s="0" t="s">
        <v>3582</v>
      </c>
      <c r="D65" s="0" t="s">
        <v>3587</v>
      </c>
      <c r="E65" s="0" t="s">
        <v>3588</v>
      </c>
      <c r="F65" s="0" t="s">
        <v>3479</v>
      </c>
      <c r="G65" s="0" t="s">
        <v>1229</v>
      </c>
    </row>
    <row customHeight="1" ht="11.25">
      <c r="A66" s="1856" t="s">
        <v>16</v>
      </c>
      <c r="B66" s="0" t="s">
        <v>3581</v>
      </c>
      <c r="C66" s="0" t="s">
        <v>3582</v>
      </c>
      <c r="D66" s="0" t="s">
        <v>3589</v>
      </c>
      <c r="E66" s="0" t="s">
        <v>3590</v>
      </c>
      <c r="F66" s="0" t="s">
        <v>3485</v>
      </c>
      <c r="G66" s="0" t="s">
        <v>1231</v>
      </c>
    </row>
    <row customHeight="1" ht="11.25">
      <c r="A67" s="1856" t="s">
        <v>16</v>
      </c>
      <c r="B67" s="0" t="s">
        <v>3581</v>
      </c>
      <c r="C67" s="0" t="s">
        <v>3582</v>
      </c>
      <c r="D67" s="0" t="s">
        <v>3591</v>
      </c>
      <c r="E67" s="0" t="s">
        <v>3592</v>
      </c>
      <c r="F67" s="0" t="s">
        <v>3479</v>
      </c>
      <c r="G67" s="0" t="s">
        <v>1233</v>
      </c>
    </row>
    <row customHeight="1" ht="11.25">
      <c r="A68" s="1856" t="s">
        <v>16</v>
      </c>
      <c r="B68" s="0" t="s">
        <v>3581</v>
      </c>
      <c r="C68" s="0" t="s">
        <v>3582</v>
      </c>
      <c r="D68" s="0" t="s">
        <v>3593</v>
      </c>
      <c r="E68" s="0" t="s">
        <v>3594</v>
      </c>
      <c r="F68" s="0" t="s">
        <v>3479</v>
      </c>
      <c r="G68" s="0" t="s">
        <v>1236</v>
      </c>
    </row>
    <row customHeight="1" ht="11.25">
      <c r="A69" s="1856" t="s">
        <v>16</v>
      </c>
      <c r="B69" s="0" t="s">
        <v>3581</v>
      </c>
      <c r="C69" s="0" t="s">
        <v>3582</v>
      </c>
      <c r="D69" s="0" t="s">
        <v>3581</v>
      </c>
      <c r="E69" s="0" t="s">
        <v>3582</v>
      </c>
      <c r="F69" s="0" t="s">
        <v>3480</v>
      </c>
      <c r="G69" s="0" t="s">
        <v>1238</v>
      </c>
    </row>
    <row customHeight="1" ht="11.25">
      <c r="A70" s="1856" t="s">
        <v>16</v>
      </c>
      <c r="B70" s="0" t="s">
        <v>3581</v>
      </c>
      <c r="C70" s="0" t="s">
        <v>3582</v>
      </c>
      <c r="D70" s="0" t="s">
        <v>3595</v>
      </c>
      <c r="E70" s="0" t="s">
        <v>3596</v>
      </c>
      <c r="F70" s="0" t="s">
        <v>3479</v>
      </c>
      <c r="G70" s="0" t="s">
        <v>1240</v>
      </c>
    </row>
    <row customHeight="1" ht="11.25">
      <c r="A71" s="1856" t="s">
        <v>16</v>
      </c>
      <c r="B71" s="0" t="s">
        <v>3597</v>
      </c>
      <c r="C71" s="0" t="s">
        <v>3598</v>
      </c>
      <c r="D71" s="0" t="s">
        <v>3597</v>
      </c>
      <c r="E71" s="0" t="s">
        <v>3598</v>
      </c>
      <c r="F71" s="0" t="s">
        <v>3461</v>
      </c>
      <c r="G71" s="0" t="s">
        <v>1242</v>
      </c>
    </row>
    <row customHeight="1" ht="11.25">
      <c r="A72" s="1856" t="s">
        <v>16</v>
      </c>
      <c r="B72" s="0" t="s">
        <v>3599</v>
      </c>
      <c r="C72" s="0" t="s">
        <v>3600</v>
      </c>
      <c r="D72" s="0" t="s">
        <v>3599</v>
      </c>
      <c r="E72" s="0" t="s">
        <v>3600</v>
      </c>
      <c r="F72" s="0" t="s">
        <v>3461</v>
      </c>
      <c r="G72" s="0" t="s">
        <v>1244</v>
      </c>
    </row>
    <row customHeight="1" ht="11.25">
      <c r="A73" s="1856" t="s">
        <v>16</v>
      </c>
      <c r="B73" s="0" t="s">
        <v>3601</v>
      </c>
      <c r="C73" s="0" t="s">
        <v>3602</v>
      </c>
      <c r="D73" s="0" t="s">
        <v>3603</v>
      </c>
      <c r="E73" s="0" t="s">
        <v>3604</v>
      </c>
      <c r="F73" s="0" t="s">
        <v>3479</v>
      </c>
      <c r="G73" s="0" t="s">
        <v>1246</v>
      </c>
    </row>
    <row customHeight="1" ht="11.25">
      <c r="A74" s="1856" t="s">
        <v>16</v>
      </c>
      <c r="B74" s="0" t="s">
        <v>3601</v>
      </c>
      <c r="C74" s="0" t="s">
        <v>3602</v>
      </c>
      <c r="D74" s="0" t="s">
        <v>3605</v>
      </c>
      <c r="E74" s="0" t="s">
        <v>3606</v>
      </c>
      <c r="F74" s="0" t="s">
        <v>3479</v>
      </c>
      <c r="G74" s="0" t="s">
        <v>1248</v>
      </c>
    </row>
    <row customHeight="1" ht="11.25">
      <c r="A75" s="1856" t="s">
        <v>16</v>
      </c>
      <c r="B75" s="0" t="s">
        <v>3601</v>
      </c>
      <c r="C75" s="0" t="s">
        <v>3602</v>
      </c>
      <c r="D75" s="0" t="s">
        <v>3607</v>
      </c>
      <c r="E75" s="0" t="s">
        <v>3608</v>
      </c>
      <c r="F75" s="0" t="s">
        <v>3479</v>
      </c>
      <c r="G75" s="0" t="s">
        <v>1250</v>
      </c>
    </row>
    <row customHeight="1" ht="11.25">
      <c r="A76" s="1856" t="s">
        <v>16</v>
      </c>
      <c r="B76" s="0" t="s">
        <v>3601</v>
      </c>
      <c r="C76" s="0" t="s">
        <v>3602</v>
      </c>
      <c r="D76" s="0" t="s">
        <v>3609</v>
      </c>
      <c r="E76" s="0" t="s">
        <v>3610</v>
      </c>
      <c r="F76" s="0" t="s">
        <v>3479</v>
      </c>
      <c r="G76" s="0" t="s">
        <v>1252</v>
      </c>
    </row>
    <row customHeight="1" ht="11.25">
      <c r="A77" s="1856" t="s">
        <v>16</v>
      </c>
      <c r="B77" s="0" t="s">
        <v>3601</v>
      </c>
      <c r="C77" s="0" t="s">
        <v>3602</v>
      </c>
      <c r="D77" s="0" t="s">
        <v>3611</v>
      </c>
      <c r="E77" s="0" t="s">
        <v>3612</v>
      </c>
      <c r="F77" s="0" t="s">
        <v>3479</v>
      </c>
      <c r="G77" s="0" t="s">
        <v>1254</v>
      </c>
    </row>
    <row customHeight="1" ht="11.25">
      <c r="A78" s="1856" t="s">
        <v>16</v>
      </c>
      <c r="B78" s="0" t="s">
        <v>3601</v>
      </c>
      <c r="C78" s="0" t="s">
        <v>3602</v>
      </c>
      <c r="D78" s="0" t="s">
        <v>3601</v>
      </c>
      <c r="E78" s="0" t="s">
        <v>3602</v>
      </c>
      <c r="F78" s="0" t="s">
        <v>3480</v>
      </c>
      <c r="G78" s="0" t="s">
        <v>1260</v>
      </c>
    </row>
    <row customHeight="1" ht="11.25">
      <c r="A79" s="1856" t="s">
        <v>16</v>
      </c>
      <c r="B79" s="0" t="s">
        <v>3601</v>
      </c>
      <c r="C79" s="0" t="s">
        <v>3602</v>
      </c>
      <c r="D79" s="0" t="s">
        <v>3613</v>
      </c>
      <c r="E79" s="0" t="s">
        <v>3614</v>
      </c>
      <c r="F79" s="0" t="s">
        <v>3479</v>
      </c>
      <c r="G79" s="0" t="s">
        <v>1262</v>
      </c>
    </row>
    <row customHeight="1" ht="11.25">
      <c r="A80" s="1856" t="s">
        <v>16</v>
      </c>
      <c r="B80" s="0" t="s">
        <v>3601</v>
      </c>
      <c r="C80" s="0" t="s">
        <v>3602</v>
      </c>
      <c r="D80" s="0" t="s">
        <v>3615</v>
      </c>
      <c r="E80" s="0" t="s">
        <v>3616</v>
      </c>
      <c r="F80" s="0" t="s">
        <v>3479</v>
      </c>
      <c r="G80" s="0" t="s">
        <v>1264</v>
      </c>
    </row>
    <row customHeight="1" ht="11.25">
      <c r="A81" s="1856" t="s">
        <v>16</v>
      </c>
      <c r="B81" s="0" t="s">
        <v>3601</v>
      </c>
      <c r="C81" s="0" t="s">
        <v>3602</v>
      </c>
      <c r="D81" s="0" t="s">
        <v>3617</v>
      </c>
      <c r="E81" s="0" t="s">
        <v>3618</v>
      </c>
      <c r="F81" s="0" t="s">
        <v>3479</v>
      </c>
      <c r="G81" s="0" t="s">
        <v>1266</v>
      </c>
    </row>
    <row customHeight="1" ht="11.25">
      <c r="A82" s="1856" t="s">
        <v>16</v>
      </c>
      <c r="B82" s="0" t="s">
        <v>3619</v>
      </c>
      <c r="C82" s="0" t="s">
        <v>3620</v>
      </c>
      <c r="D82" s="0" t="s">
        <v>3619</v>
      </c>
      <c r="E82" s="0" t="s">
        <v>3620</v>
      </c>
      <c r="F82" s="0" t="s">
        <v>3461</v>
      </c>
      <c r="G82" s="0" t="s">
        <v>1268</v>
      </c>
    </row>
    <row customHeight="1" ht="11.25">
      <c r="A83" s="1856" t="s">
        <v>16</v>
      </c>
      <c r="B83" s="0" t="s">
        <v>3621</v>
      </c>
      <c r="C83" s="0" t="s">
        <v>3622</v>
      </c>
      <c r="D83" s="0" t="s">
        <v>3621</v>
      </c>
      <c r="E83" s="0" t="s">
        <v>3622</v>
      </c>
      <c r="F83" s="0" t="s">
        <v>3464</v>
      </c>
      <c r="G83" s="0" t="s">
        <v>1271</v>
      </c>
    </row>
    <row customHeight="1" ht="11.25">
      <c r="A84" s="1856" t="s">
        <v>16</v>
      </c>
      <c r="B84" s="0" t="s">
        <v>3623</v>
      </c>
      <c r="C84" s="0" t="s">
        <v>3624</v>
      </c>
      <c r="D84" s="0" t="s">
        <v>3623</v>
      </c>
      <c r="E84" s="0" t="s">
        <v>3624</v>
      </c>
      <c r="F84" s="0" t="s">
        <v>3461</v>
      </c>
      <c r="G84" s="0" t="s">
        <v>1273</v>
      </c>
    </row>
    <row customHeight="1" ht="11.25">
      <c r="A85" s="1856" t="s">
        <v>16</v>
      </c>
      <c r="B85" s="0" t="s">
        <v>3625</v>
      </c>
      <c r="C85" s="0" t="s">
        <v>3626</v>
      </c>
      <c r="D85" s="0" t="s">
        <v>3625</v>
      </c>
      <c r="E85" s="0" t="s">
        <v>3626</v>
      </c>
      <c r="F85" s="0" t="s">
        <v>3461</v>
      </c>
      <c r="G85" s="0" t="s">
        <v>1275</v>
      </c>
    </row>
    <row customHeight="1" ht="11.25">
      <c r="A86" s="1856" t="s">
        <v>16</v>
      </c>
      <c r="B86" s="0" t="s">
        <v>3627</v>
      </c>
      <c r="C86" s="0" t="s">
        <v>3628</v>
      </c>
      <c r="D86" s="0" t="s">
        <v>3627</v>
      </c>
      <c r="E86" s="0" t="s">
        <v>3628</v>
      </c>
      <c r="F86" s="0" t="s">
        <v>3461</v>
      </c>
      <c r="G86" s="0" t="s">
        <v>1277</v>
      </c>
    </row>
    <row customHeight="1" ht="11.25">
      <c r="A87" s="1856" t="s">
        <v>16</v>
      </c>
      <c r="B87" s="0" t="s">
        <v>3629</v>
      </c>
      <c r="C87" s="0" t="s">
        <v>3630</v>
      </c>
      <c r="D87" s="0" t="s">
        <v>3629</v>
      </c>
      <c r="E87" s="0" t="s">
        <v>3630</v>
      </c>
      <c r="F87" s="0" t="s">
        <v>3461</v>
      </c>
      <c r="G87" s="0" t="s">
        <v>1279</v>
      </c>
    </row>
    <row customHeight="1" ht="11.25">
      <c r="A88" s="1856" t="s">
        <v>16</v>
      </c>
      <c r="B88" s="0" t="s">
        <v>3631</v>
      </c>
      <c r="C88" s="0" t="s">
        <v>3632</v>
      </c>
      <c r="D88" s="0" t="s">
        <v>3633</v>
      </c>
      <c r="E88" s="0" t="s">
        <v>3634</v>
      </c>
      <c r="F88" s="0" t="s">
        <v>3479</v>
      </c>
      <c r="G88" s="0" t="s">
        <v>1282</v>
      </c>
    </row>
    <row customHeight="1" ht="11.25">
      <c r="A89" s="1856" t="s">
        <v>16</v>
      </c>
      <c r="B89" s="0" t="s">
        <v>3631</v>
      </c>
      <c r="C89" s="0" t="s">
        <v>3632</v>
      </c>
      <c r="D89" s="0" t="s">
        <v>3635</v>
      </c>
      <c r="E89" s="0" t="s">
        <v>3636</v>
      </c>
      <c r="F89" s="0" t="s">
        <v>3485</v>
      </c>
      <c r="G89" s="0" t="s">
        <v>1284</v>
      </c>
    </row>
    <row customHeight="1" ht="11.25">
      <c r="A90" s="1856" t="s">
        <v>16</v>
      </c>
      <c r="B90" s="0" t="s">
        <v>3631</v>
      </c>
      <c r="C90" s="0" t="s">
        <v>3632</v>
      </c>
      <c r="D90" s="0" t="s">
        <v>3637</v>
      </c>
      <c r="E90" s="0" t="s">
        <v>3638</v>
      </c>
      <c r="F90" s="0" t="s">
        <v>3479</v>
      </c>
      <c r="G90" s="0" t="s">
        <v>1286</v>
      </c>
    </row>
    <row customHeight="1" ht="11.25">
      <c r="A91" s="1856" t="s">
        <v>16</v>
      </c>
      <c r="B91" s="0" t="s">
        <v>3631</v>
      </c>
      <c r="C91" s="0" t="s">
        <v>3632</v>
      </c>
      <c r="D91" s="0" t="s">
        <v>3639</v>
      </c>
      <c r="E91" s="0" t="s">
        <v>3640</v>
      </c>
      <c r="F91" s="0" t="s">
        <v>3504</v>
      </c>
      <c r="G91" s="0" t="s">
        <v>1288</v>
      </c>
    </row>
    <row customHeight="1" ht="11.25">
      <c r="A92" s="1856" t="s">
        <v>16</v>
      </c>
      <c r="B92" s="0" t="s">
        <v>3631</v>
      </c>
      <c r="C92" s="0" t="s">
        <v>3632</v>
      </c>
      <c r="D92" s="0" t="s">
        <v>3641</v>
      </c>
      <c r="E92" s="0" t="s">
        <v>3642</v>
      </c>
      <c r="F92" s="0" t="s">
        <v>3479</v>
      </c>
      <c r="G92" s="0" t="s">
        <v>1290</v>
      </c>
    </row>
    <row customHeight="1" ht="11.25">
      <c r="A93" s="1856" t="s">
        <v>16</v>
      </c>
      <c r="B93" s="0" t="s">
        <v>3631</v>
      </c>
      <c r="C93" s="0" t="s">
        <v>3632</v>
      </c>
      <c r="D93" s="0" t="s">
        <v>3631</v>
      </c>
      <c r="E93" s="0" t="s">
        <v>3632</v>
      </c>
      <c r="F93" s="0" t="s">
        <v>3480</v>
      </c>
      <c r="G93" s="0" t="s">
        <v>1292</v>
      </c>
    </row>
    <row customHeight="1" ht="11.25">
      <c r="A94" s="1856" t="s">
        <v>16</v>
      </c>
      <c r="B94" s="0" t="s">
        <v>3631</v>
      </c>
      <c r="C94" s="0" t="s">
        <v>3632</v>
      </c>
      <c r="D94" s="0" t="s">
        <v>3643</v>
      </c>
      <c r="E94" s="0" t="s">
        <v>3644</v>
      </c>
      <c r="F94" s="0" t="s">
        <v>3479</v>
      </c>
      <c r="G94" s="0" t="s">
        <v>1294</v>
      </c>
    </row>
    <row customHeight="1" ht="11.25">
      <c r="A95" s="1856" t="s">
        <v>16</v>
      </c>
      <c r="B95" s="0" t="s">
        <v>3645</v>
      </c>
      <c r="C95" s="0" t="s">
        <v>3646</v>
      </c>
      <c r="D95" s="0" t="s">
        <v>3645</v>
      </c>
      <c r="E95" s="0" t="s">
        <v>3646</v>
      </c>
      <c r="F95" s="0" t="s">
        <v>3461</v>
      </c>
      <c r="G95" s="0" t="s">
        <v>1296</v>
      </c>
    </row>
    <row customHeight="1" ht="11.25">
      <c r="A96" s="1856" t="s">
        <v>16</v>
      </c>
      <c r="B96" s="0" t="s">
        <v>3647</v>
      </c>
      <c r="C96" s="0" t="s">
        <v>3648</v>
      </c>
      <c r="D96" s="0" t="s">
        <v>3647</v>
      </c>
      <c r="E96" s="0" t="s">
        <v>3648</v>
      </c>
      <c r="F96" s="0" t="s">
        <v>3461</v>
      </c>
      <c r="G96" s="0" t="s">
        <v>1298</v>
      </c>
    </row>
    <row customHeight="1" ht="11.25">
      <c r="A97" s="1856" t="s">
        <v>16</v>
      </c>
      <c r="B97" s="0" t="s">
        <v>3649</v>
      </c>
      <c r="C97" s="0" t="s">
        <v>3650</v>
      </c>
      <c r="D97" s="0" t="s">
        <v>3651</v>
      </c>
      <c r="E97" s="0" t="s">
        <v>3652</v>
      </c>
      <c r="F97" s="0" t="s">
        <v>3479</v>
      </c>
      <c r="G97" s="0" t="s">
        <v>1300</v>
      </c>
    </row>
    <row customHeight="1" ht="11.25">
      <c r="A98" s="1856" t="s">
        <v>16</v>
      </c>
      <c r="B98" s="0" t="s">
        <v>3649</v>
      </c>
      <c r="C98" s="0" t="s">
        <v>3650</v>
      </c>
      <c r="D98" s="0" t="s">
        <v>3653</v>
      </c>
      <c r="E98" s="0" t="s">
        <v>3654</v>
      </c>
      <c r="F98" s="0" t="s">
        <v>3479</v>
      </c>
      <c r="G98" s="0" t="s">
        <v>1302</v>
      </c>
    </row>
    <row customHeight="1" ht="11.25">
      <c r="A99" s="1856" t="s">
        <v>16</v>
      </c>
      <c r="B99" s="0" t="s">
        <v>3649</v>
      </c>
      <c r="C99" s="0" t="s">
        <v>3650</v>
      </c>
      <c r="D99" s="0" t="s">
        <v>3655</v>
      </c>
      <c r="E99" s="0" t="s">
        <v>3656</v>
      </c>
      <c r="F99" s="0" t="s">
        <v>3479</v>
      </c>
      <c r="G99" s="0" t="s">
        <v>1304</v>
      </c>
    </row>
    <row customHeight="1" ht="11.25">
      <c r="A100" s="1856" t="s">
        <v>16</v>
      </c>
      <c r="B100" s="0" t="s">
        <v>3649</v>
      </c>
      <c r="C100" s="0" t="s">
        <v>3650</v>
      </c>
      <c r="D100" s="0" t="s">
        <v>3657</v>
      </c>
      <c r="E100" s="0" t="s">
        <v>3658</v>
      </c>
      <c r="F100" s="0" t="s">
        <v>3504</v>
      </c>
      <c r="G100" s="0" t="s">
        <v>1306</v>
      </c>
    </row>
    <row customHeight="1" ht="11.25">
      <c r="A101" s="1856" t="s">
        <v>16</v>
      </c>
      <c r="B101" s="0" t="s">
        <v>3649</v>
      </c>
      <c r="C101" s="0" t="s">
        <v>3650</v>
      </c>
      <c r="D101" s="0" t="s">
        <v>3659</v>
      </c>
      <c r="E101" s="0" t="s">
        <v>3660</v>
      </c>
      <c r="F101" s="0" t="s">
        <v>3479</v>
      </c>
      <c r="G101" s="0" t="s">
        <v>1308</v>
      </c>
    </row>
    <row customHeight="1" ht="11.25">
      <c r="A102" s="1856" t="s">
        <v>16</v>
      </c>
      <c r="B102" s="0" t="s">
        <v>3649</v>
      </c>
      <c r="C102" s="0" t="s">
        <v>3650</v>
      </c>
      <c r="D102" s="0" t="s">
        <v>3649</v>
      </c>
      <c r="E102" s="0" t="s">
        <v>3650</v>
      </c>
      <c r="F102" s="0" t="s">
        <v>3480</v>
      </c>
      <c r="G102" s="0" t="s">
        <v>1310</v>
      </c>
    </row>
    <row customHeight="1" ht="11.25">
      <c r="A103" s="1856" t="s">
        <v>16</v>
      </c>
      <c r="B103" s="0" t="s">
        <v>3649</v>
      </c>
      <c r="C103" s="0" t="s">
        <v>3650</v>
      </c>
      <c r="D103" s="0" t="s">
        <v>3661</v>
      </c>
      <c r="E103" s="0" t="s">
        <v>3662</v>
      </c>
      <c r="F103" s="0" t="s">
        <v>3504</v>
      </c>
      <c r="G103" s="0" t="s">
        <v>1312</v>
      </c>
    </row>
    <row customHeight="1" ht="11.25">
      <c r="A104" s="1856" t="s">
        <v>16</v>
      </c>
      <c r="B104" s="0" t="s">
        <v>3649</v>
      </c>
      <c r="C104" s="0" t="s">
        <v>3650</v>
      </c>
      <c r="D104" s="0" t="s">
        <v>3663</v>
      </c>
      <c r="E104" s="0" t="s">
        <v>3664</v>
      </c>
      <c r="F104" s="0" t="s">
        <v>3479</v>
      </c>
      <c r="G104" s="0" t="s">
        <v>1314</v>
      </c>
    </row>
    <row customHeight="1" ht="11.25">
      <c r="A105" s="1856" t="s">
        <v>16</v>
      </c>
      <c r="B105" s="0" t="s">
        <v>3665</v>
      </c>
      <c r="C105" s="0" t="s">
        <v>3666</v>
      </c>
      <c r="D105" s="0" t="s">
        <v>3665</v>
      </c>
      <c r="E105" s="0" t="s">
        <v>3666</v>
      </c>
      <c r="F105" s="0" t="s">
        <v>3461</v>
      </c>
      <c r="G105" s="0" t="s">
        <v>1316</v>
      </c>
    </row>
    <row customHeight="1" ht="11.25">
      <c r="A106" s="1856" t="s">
        <v>16</v>
      </c>
      <c r="B106" s="0" t="s">
        <v>3667</v>
      </c>
      <c r="C106" s="0" t="s">
        <v>3668</v>
      </c>
      <c r="D106" s="0" t="s">
        <v>3669</v>
      </c>
      <c r="E106" s="0" t="s">
        <v>3670</v>
      </c>
      <c r="F106" s="0" t="s">
        <v>3479</v>
      </c>
      <c r="G106" s="0" t="s">
        <v>1318</v>
      </c>
    </row>
    <row customHeight="1" ht="11.25">
      <c r="A107" s="1856" t="s">
        <v>16</v>
      </c>
      <c r="B107" s="0" t="s">
        <v>3667</v>
      </c>
      <c r="C107" s="0" t="s">
        <v>3668</v>
      </c>
      <c r="D107" s="0" t="s">
        <v>3671</v>
      </c>
      <c r="E107" s="0" t="s">
        <v>3672</v>
      </c>
      <c r="F107" s="0" t="s">
        <v>3479</v>
      </c>
      <c r="G107" s="0" t="s">
        <v>3673</v>
      </c>
    </row>
    <row customHeight="1" ht="11.25">
      <c r="A108" s="1856" t="s">
        <v>16</v>
      </c>
      <c r="B108" s="0" t="s">
        <v>3667</v>
      </c>
      <c r="C108" s="0" t="s">
        <v>3668</v>
      </c>
      <c r="D108" s="0" t="s">
        <v>3674</v>
      </c>
      <c r="E108" s="0" t="s">
        <v>3675</v>
      </c>
      <c r="F108" s="0" t="s">
        <v>3479</v>
      </c>
      <c r="G108" s="0" t="s">
        <v>3676</v>
      </c>
    </row>
    <row customHeight="1" ht="11.25">
      <c r="A109" s="1856" t="s">
        <v>16</v>
      </c>
      <c r="B109" s="0" t="s">
        <v>3667</v>
      </c>
      <c r="C109" s="0" t="s">
        <v>3668</v>
      </c>
      <c r="D109" s="0" t="s">
        <v>3677</v>
      </c>
      <c r="E109" s="0" t="s">
        <v>3678</v>
      </c>
      <c r="F109" s="0" t="s">
        <v>3479</v>
      </c>
      <c r="G109" s="0" t="s">
        <v>3679</v>
      </c>
    </row>
    <row customHeight="1" ht="11.25">
      <c r="A110" s="1856" t="s">
        <v>16</v>
      </c>
      <c r="B110" s="0" t="s">
        <v>3667</v>
      </c>
      <c r="C110" s="0" t="s">
        <v>3668</v>
      </c>
      <c r="D110" s="0" t="s">
        <v>3667</v>
      </c>
      <c r="E110" s="0" t="s">
        <v>3668</v>
      </c>
      <c r="F110" s="0" t="s">
        <v>3480</v>
      </c>
      <c r="G110" s="0" t="s">
        <v>3680</v>
      </c>
    </row>
    <row customHeight="1" ht="11.25">
      <c r="A111" s="1856" t="s">
        <v>16</v>
      </c>
      <c r="B111" s="0" t="s">
        <v>3667</v>
      </c>
      <c r="C111" s="0" t="s">
        <v>3668</v>
      </c>
      <c r="D111" s="0" t="s">
        <v>3681</v>
      </c>
      <c r="E111" s="0" t="s">
        <v>3682</v>
      </c>
      <c r="F111" s="0" t="s">
        <v>3479</v>
      </c>
      <c r="G111" s="0" t="s">
        <v>3683</v>
      </c>
    </row>
    <row customHeight="1" ht="11.25">
      <c r="A112" s="1856" t="s">
        <v>16</v>
      </c>
      <c r="B112" s="0" t="s">
        <v>3684</v>
      </c>
      <c r="C112" s="0" t="s">
        <v>3685</v>
      </c>
      <c r="D112" s="0" t="s">
        <v>3684</v>
      </c>
      <c r="E112" s="0" t="s">
        <v>3685</v>
      </c>
      <c r="F112" s="0" t="s">
        <v>3464</v>
      </c>
      <c r="G112" s="0" t="s">
        <v>636</v>
      </c>
    </row>
    <row customHeight="1" ht="11.25">
      <c r="A113" s="1856" t="s">
        <v>16</v>
      </c>
      <c r="B113" s="0" t="s">
        <v>3686</v>
      </c>
      <c r="C113" s="0" t="s">
        <v>3687</v>
      </c>
      <c r="D113" s="0" t="s">
        <v>3686</v>
      </c>
      <c r="E113" s="0" t="s">
        <v>3687</v>
      </c>
      <c r="F113" s="0" t="s">
        <v>3464</v>
      </c>
      <c r="G113" s="0" t="s">
        <v>3688</v>
      </c>
    </row>
    <row customHeight="1" ht="11.25">
      <c r="A114" s="1856" t="s">
        <v>16</v>
      </c>
      <c r="B114" s="0" t="s">
        <v>3689</v>
      </c>
      <c r="C114" s="0" t="s">
        <v>3690</v>
      </c>
      <c r="D114" s="0" t="s">
        <v>3689</v>
      </c>
      <c r="E114" s="0" t="s">
        <v>3690</v>
      </c>
      <c r="F114" s="0" t="s">
        <v>3461</v>
      </c>
      <c r="G114" s="0" t="s">
        <v>3691</v>
      </c>
    </row>
    <row customHeight="1" ht="11.25">
      <c r="A115" s="1856" t="s">
        <v>16</v>
      </c>
      <c r="B115" s="0" t="s">
        <v>3692</v>
      </c>
      <c r="C115" s="0" t="s">
        <v>3693</v>
      </c>
      <c r="D115" s="0" t="s">
        <v>3692</v>
      </c>
      <c r="E115" s="0" t="s">
        <v>3693</v>
      </c>
      <c r="F115" s="0" t="s">
        <v>3461</v>
      </c>
      <c r="G115" s="0" t="s">
        <v>3694</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4BD8C9-2B59-0C21-4D02-0.69AD5837}" mc:Ignorable="x14ac xr xr2 xr3">
  <sheetPr>
    <tabColor rgb="FFFFCC99"/>
  </sheetPr>
  <dimension ref="A1:I5"/>
  <sheetViews>
    <sheetView topLeftCell="A1" showGridLines="0" workbookViewId="0">
      <selection activeCell="A1" sqref="A1"/>
    </sheetView>
  </sheetViews>
  <sheetFormatPr defaultColWidth="9.140625" customHeight="1" defaultRowHeight="11.25"/>
  <cols>
    <col min="1" max="1" style="1699" width="13.8515625" customWidth="1"/>
  </cols>
  <sheetData>
    <row customHeight="1" ht="11.25">
      <c r="A1" s="844" t="s">
        <v>3695</v>
      </c>
      <c r="B1" s="71" t="s">
        <v>3696</v>
      </c>
      <c r="C1" s="71" t="s">
        <v>3697</v>
      </c>
      <c r="D1" s="71" t="s">
        <v>3698</v>
      </c>
      <c r="E1" s="71" t="s">
        <v>3699</v>
      </c>
      <c r="F1" s="71" t="s">
        <v>3700</v>
      </c>
      <c r="G1" s="71" t="s">
        <v>3701</v>
      </c>
      <c r="H1" s="71" t="s">
        <v>3702</v>
      </c>
      <c r="I1" s="71" t="s">
        <v>3703</v>
      </c>
    </row>
    <row customHeight="1" ht="11.25">
      <c r="A2" s="1699" t="s">
        <v>118</v>
      </c>
      <c r="B2" s="0" t="s">
        <v>3704</v>
      </c>
      <c r="C2" s="0" t="s">
        <v>3705</v>
      </c>
      <c r="D2" s="0" t="s">
        <v>3706</v>
      </c>
      <c r="E2" s="0" t="s">
        <v>3707</v>
      </c>
      <c r="F2" s="0" t="s">
        <v>3708</v>
      </c>
      <c r="G2" s="0" t="s">
        <v>1034</v>
      </c>
      <c r="H2" s="0" t="s">
        <v>3709</v>
      </c>
      <c r="I2" s="0" t="s">
        <v>3710</v>
      </c>
    </row>
    <row customHeight="1" ht="11.25">
      <c r="A3" s="1699" t="s">
        <v>103</v>
      </c>
      <c r="B3" s="0" t="s">
        <v>3711</v>
      </c>
      <c r="C3" s="0" t="s">
        <v>3712</v>
      </c>
      <c r="D3" s="0" t="s">
        <v>3713</v>
      </c>
      <c r="E3" s="0" t="s">
        <v>3707</v>
      </c>
      <c r="F3" s="0" t="s">
        <v>3708</v>
      </c>
      <c r="G3" s="0" t="s">
        <v>1034</v>
      </c>
      <c r="H3" s="0" t="s">
        <v>3709</v>
      </c>
      <c r="I3" s="0" t="s">
        <v>3714</v>
      </c>
    </row>
    <row customHeight="1" ht="11.25">
      <c r="A4" s="1699" t="s">
        <v>91</v>
      </c>
      <c r="B4" s="0" t="s">
        <v>1027</v>
      </c>
      <c r="C4" s="0" t="s">
        <v>3715</v>
      </c>
      <c r="D4" s="0" t="s">
        <v>1031</v>
      </c>
      <c r="E4" s="0" t="s">
        <v>1032</v>
      </c>
      <c r="F4" s="0" t="s">
        <v>1033</v>
      </c>
      <c r="G4" s="0" t="s">
        <v>1034</v>
      </c>
      <c r="H4" s="0" t="s">
        <v>1035</v>
      </c>
      <c r="I4" s="0" t="s">
        <v>1031</v>
      </c>
    </row>
    <row customHeight="1" ht="11.25">
      <c r="A5" s="1699" t="s">
        <v>92</v>
      </c>
      <c r="B5" s="0" t="s">
        <v>3716</v>
      </c>
      <c r="C5" s="0" t="s">
        <v>22</v>
      </c>
      <c r="D5" s="0" t="s">
        <v>3717</v>
      </c>
      <c r="E5" s="0" t="s">
        <v>3718</v>
      </c>
      <c r="F5" s="0" t="s">
        <v>22</v>
      </c>
      <c r="G5" s="0" t="s">
        <v>22</v>
      </c>
      <c r="H5" s="0" t="s">
        <v>22</v>
      </c>
      <c r="I5"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48CB5-2449-D95C-C548-0.01C7C86A}" mc:Ignorable="x14ac xr xr2 xr3">
  <sheetPr>
    <tabColor rgb="FFFFCC99"/>
  </sheetPr>
  <dimension ref="A1:AL13"/>
  <sheetViews>
    <sheetView topLeftCell="A1" workbookViewId="0">
      <selection activeCell="A1" sqref="A1"/>
    </sheetView>
  </sheetViews>
  <sheetFormatPr customHeight="1" defaultRowHeight="11.25"/>
  <sheetData>
    <row customHeight="1" ht="11.25">
      <c r="A1" s="0" t="s">
        <v>2479</v>
      </c>
      <c r="B1" s="0" t="s">
        <v>2480</v>
      </c>
      <c r="C1" s="0" t="s">
        <v>2481</v>
      </c>
      <c r="D1" s="0" t="s">
        <v>3719</v>
      </c>
      <c r="E1" s="0" t="s">
        <v>3720</v>
      </c>
      <c r="F1" s="0" t="s">
        <v>3721</v>
      </c>
      <c r="G1" s="0" t="s">
        <v>3722</v>
      </c>
      <c r="H1" s="0" t="s">
        <v>3723</v>
      </c>
      <c r="I1" s="0" t="s">
        <v>3724</v>
      </c>
      <c r="J1" s="0" t="s">
        <v>3725</v>
      </c>
      <c r="K1" s="0" t="s">
        <v>3726</v>
      </c>
      <c r="L1" s="0" t="s">
        <v>3727</v>
      </c>
      <c r="M1" s="0" t="s">
        <v>3728</v>
      </c>
      <c r="N1" s="0" t="s">
        <v>3729</v>
      </c>
      <c r="O1" s="0" t="s">
        <v>3453</v>
      </c>
      <c r="P1" s="0" t="s">
        <v>3455</v>
      </c>
      <c r="Q1" s="0" t="s">
        <v>3456</v>
      </c>
      <c r="R1" s="0" t="s">
        <v>3730</v>
      </c>
      <c r="S1" s="0" t="s">
        <v>3731</v>
      </c>
      <c r="T1" s="0" t="s">
        <v>3732</v>
      </c>
      <c r="U1" s="0" t="s">
        <v>3733</v>
      </c>
      <c r="V1" s="0" t="s">
        <v>3734</v>
      </c>
      <c r="W1" s="0" t="s">
        <v>3735</v>
      </c>
      <c r="X1" s="0" t="s">
        <v>3736</v>
      </c>
      <c r="Y1" s="0" t="s">
        <v>3737</v>
      </c>
      <c r="Z1" s="0" t="s">
        <v>3738</v>
      </c>
      <c r="AA1" s="0" t="s">
        <v>3739</v>
      </c>
      <c r="AB1" s="0" t="s">
        <v>3740</v>
      </c>
      <c r="AC1" s="0" t="s">
        <v>3741</v>
      </c>
      <c r="AD1" s="0" t="s">
        <v>3742</v>
      </c>
      <c r="AE1" s="0" t="s">
        <v>3743</v>
      </c>
      <c r="AF1" s="0" t="s">
        <v>3744</v>
      </c>
      <c r="AG1" s="0" t="s">
        <v>3745</v>
      </c>
      <c r="AH1" s="0" t="s">
        <v>3746</v>
      </c>
      <c r="AI1" s="0" t="s">
        <v>3747</v>
      </c>
      <c r="AJ1" s="0" t="s">
        <v>3748</v>
      </c>
      <c r="AK1" s="0" t="s">
        <v>3749</v>
      </c>
      <c r="AL1" s="0" t="s">
        <v>3750</v>
      </c>
    </row>
    <row customHeight="1" ht="11.25">
      <c r="A2" s="0" t="s">
        <v>22</v>
      </c>
      <c r="B2" s="0" t="s">
        <v>49</v>
      </c>
      <c r="C2" s="0" t="s">
        <v>51</v>
      </c>
      <c r="D2" s="0" t="s">
        <v>22</v>
      </c>
      <c r="E2" s="0" t="s">
        <v>1106</v>
      </c>
      <c r="F2" s="0" t="s">
        <v>1076</v>
      </c>
      <c r="G2" s="0" t="s">
        <v>100</v>
      </c>
      <c r="H2" s="0" t="s">
        <v>100</v>
      </c>
      <c r="I2" s="0" t="s">
        <v>101</v>
      </c>
      <c r="J2" s="0" t="s">
        <v>1107</v>
      </c>
      <c r="K2" s="0" t="s">
        <v>1108</v>
      </c>
      <c r="L2" s="0" t="s">
        <v>1109</v>
      </c>
      <c r="M2" s="0" t="s">
        <v>1110</v>
      </c>
      <c r="N2" s="0" t="s">
        <v>118</v>
      </c>
      <c r="O2" s="0" t="s">
        <v>100</v>
      </c>
      <c r="P2" s="0" t="s">
        <v>100</v>
      </c>
      <c r="Q2" s="0" t="s">
        <v>101</v>
      </c>
      <c r="R2" s="0" t="s">
        <v>1107</v>
      </c>
      <c r="S2" s="0" t="s">
        <v>1108</v>
      </c>
      <c r="T2" s="0" t="s">
        <v>3751</v>
      </c>
      <c r="U2" s="0" t="s">
        <v>3752</v>
      </c>
      <c r="V2" s="0" t="s">
        <v>3753</v>
      </c>
      <c r="W2" s="0" t="s">
        <v>3754</v>
      </c>
      <c r="X2" s="0" t="s">
        <v>3755</v>
      </c>
      <c r="Y2" s="0" t="s">
        <v>3756</v>
      </c>
      <c r="Z2" s="0" t="s">
        <v>3757</v>
      </c>
      <c r="AA2" s="0" t="s">
        <v>3758</v>
      </c>
      <c r="AB2" s="0" t="s">
        <v>3753</v>
      </c>
      <c r="AC2" s="0" t="s">
        <v>63</v>
      </c>
      <c r="AD2" s="0" t="s">
        <v>63</v>
      </c>
      <c r="AE2" s="0" t="s">
        <v>63</v>
      </c>
      <c r="AF2" s="0" t="s">
        <v>3759</v>
      </c>
      <c r="AG2" s="0" t="s">
        <v>3760</v>
      </c>
      <c r="AH2" s="0" t="s">
        <v>3759</v>
      </c>
      <c r="AI2" s="0" t="s">
        <v>3760</v>
      </c>
      <c r="AJ2" s="0" t="s">
        <v>3759</v>
      </c>
      <c r="AK2" s="0" t="s">
        <v>3760</v>
      </c>
      <c r="AL2" s="0" t="s">
        <v>3761</v>
      </c>
    </row>
    <row customHeight="1" ht="11.25">
      <c r="A3" s="0" t="s">
        <v>22</v>
      </c>
      <c r="B3" s="0" t="s">
        <v>49</v>
      </c>
      <c r="C3" s="0" t="s">
        <v>51</v>
      </c>
      <c r="D3" s="0" t="s">
        <v>22</v>
      </c>
      <c r="E3" s="0" t="s">
        <v>1106</v>
      </c>
      <c r="F3" s="0" t="s">
        <v>1076</v>
      </c>
      <c r="G3" s="0" t="s">
        <v>100</v>
      </c>
      <c r="H3" s="0" t="s">
        <v>100</v>
      </c>
      <c r="I3" s="0" t="s">
        <v>101</v>
      </c>
      <c r="J3" s="0" t="s">
        <v>1107</v>
      </c>
      <c r="K3" s="0" t="s">
        <v>1108</v>
      </c>
      <c r="L3" s="0" t="s">
        <v>1109</v>
      </c>
      <c r="M3" s="0" t="s">
        <v>1110</v>
      </c>
      <c r="N3" s="0" t="s">
        <v>118</v>
      </c>
      <c r="O3" s="0" t="s">
        <v>100</v>
      </c>
      <c r="P3" s="0" t="s">
        <v>100</v>
      </c>
      <c r="Q3" s="0" t="s">
        <v>101</v>
      </c>
      <c r="R3" s="0" t="s">
        <v>1107</v>
      </c>
      <c r="S3" s="0" t="s">
        <v>1108</v>
      </c>
      <c r="T3" s="0" t="s">
        <v>3751</v>
      </c>
      <c r="U3" s="0" t="s">
        <v>3752</v>
      </c>
      <c r="V3" s="0" t="s">
        <v>3753</v>
      </c>
      <c r="W3" s="0" t="s">
        <v>3754</v>
      </c>
      <c r="X3" s="0" t="s">
        <v>3755</v>
      </c>
      <c r="Y3" s="0" t="s">
        <v>3756</v>
      </c>
      <c r="Z3" s="0" t="s">
        <v>3757</v>
      </c>
      <c r="AA3" s="0" t="s">
        <v>3758</v>
      </c>
      <c r="AB3" s="0" t="s">
        <v>3753</v>
      </c>
      <c r="AC3" s="0" t="s">
        <v>63</v>
      </c>
      <c r="AD3" s="0" t="s">
        <v>63</v>
      </c>
      <c r="AE3" s="0" t="s">
        <v>63</v>
      </c>
      <c r="AF3" s="0" t="s">
        <v>3759</v>
      </c>
      <c r="AG3" s="0" t="s">
        <v>3762</v>
      </c>
      <c r="AH3" s="0" t="s">
        <v>3759</v>
      </c>
      <c r="AI3" s="0" t="s">
        <v>3762</v>
      </c>
      <c r="AJ3" s="0" t="s">
        <v>3759</v>
      </c>
      <c r="AK3" s="0" t="s">
        <v>3762</v>
      </c>
      <c r="AL3" s="0" t="s">
        <v>3761</v>
      </c>
    </row>
    <row customHeight="1" ht="11.25">
      <c r="A4" s="0" t="s">
        <v>22</v>
      </c>
      <c r="B4" s="0" t="s">
        <v>49</v>
      </c>
      <c r="C4" s="0" t="s">
        <v>51</v>
      </c>
      <c r="D4" s="0" t="s">
        <v>22</v>
      </c>
      <c r="E4" s="0" t="s">
        <v>1101</v>
      </c>
      <c r="F4" s="0" t="s">
        <v>1076</v>
      </c>
      <c r="G4" s="0" t="s">
        <v>106</v>
      </c>
      <c r="H4" s="0" t="s">
        <v>106</v>
      </c>
      <c r="I4" s="0" t="s">
        <v>107</v>
      </c>
      <c r="J4" s="0" t="s">
        <v>1077</v>
      </c>
      <c r="K4" s="0" t="s">
        <v>1078</v>
      </c>
      <c r="L4" s="0" t="s">
        <v>1102</v>
      </c>
      <c r="M4" s="0" t="s">
        <v>1103</v>
      </c>
      <c r="N4" s="0" t="s">
        <v>118</v>
      </c>
      <c r="O4" s="0" t="s">
        <v>106</v>
      </c>
      <c r="P4" s="0" t="s">
        <v>106</v>
      </c>
      <c r="Q4" s="0" t="s">
        <v>107</v>
      </c>
      <c r="R4" s="0" t="s">
        <v>1077</v>
      </c>
      <c r="S4" s="0" t="s">
        <v>1078</v>
      </c>
      <c r="T4" s="0" t="s">
        <v>3751</v>
      </c>
      <c r="U4" s="0" t="s">
        <v>3752</v>
      </c>
      <c r="V4" s="0" t="s">
        <v>3763</v>
      </c>
      <c r="W4" s="0" t="s">
        <v>3754</v>
      </c>
      <c r="X4" s="0" t="s">
        <v>3755</v>
      </c>
      <c r="Y4" s="0" t="s">
        <v>3756</v>
      </c>
      <c r="Z4" s="0" t="s">
        <v>3764</v>
      </c>
      <c r="AA4" s="0" t="s">
        <v>3758</v>
      </c>
      <c r="AB4" s="0" t="s">
        <v>3763</v>
      </c>
      <c r="AC4" s="0" t="s">
        <v>63</v>
      </c>
      <c r="AD4" s="0" t="s">
        <v>63</v>
      </c>
      <c r="AE4" s="0" t="s">
        <v>63</v>
      </c>
      <c r="AF4" s="0" t="s">
        <v>3765</v>
      </c>
      <c r="AG4" s="0" t="s">
        <v>3766</v>
      </c>
      <c r="AH4" s="0" t="s">
        <v>3765</v>
      </c>
      <c r="AI4" s="0" t="s">
        <v>3766</v>
      </c>
      <c r="AJ4" s="0" t="s">
        <v>3765</v>
      </c>
      <c r="AK4" s="0" t="s">
        <v>3766</v>
      </c>
      <c r="AL4" s="0" t="s">
        <v>3767</v>
      </c>
    </row>
    <row customHeight="1" ht="11.25">
      <c r="A5" s="0" t="s">
        <v>22</v>
      </c>
      <c r="B5" s="0" t="s">
        <v>49</v>
      </c>
      <c r="C5" s="0" t="s">
        <v>51</v>
      </c>
      <c r="D5" s="0" t="s">
        <v>22</v>
      </c>
      <c r="E5" s="0" t="s">
        <v>1101</v>
      </c>
      <c r="F5" s="0" t="s">
        <v>1076</v>
      </c>
      <c r="G5" s="0" t="s">
        <v>106</v>
      </c>
      <c r="H5" s="0" t="s">
        <v>106</v>
      </c>
      <c r="I5" s="0" t="s">
        <v>107</v>
      </c>
      <c r="J5" s="0" t="s">
        <v>1077</v>
      </c>
      <c r="K5" s="0" t="s">
        <v>1078</v>
      </c>
      <c r="L5" s="0" t="s">
        <v>1102</v>
      </c>
      <c r="M5" s="0" t="s">
        <v>1103</v>
      </c>
      <c r="N5" s="0" t="s">
        <v>118</v>
      </c>
      <c r="O5" s="0" t="s">
        <v>106</v>
      </c>
      <c r="P5" s="0" t="s">
        <v>106</v>
      </c>
      <c r="Q5" s="0" t="s">
        <v>107</v>
      </c>
      <c r="R5" s="0" t="s">
        <v>1077</v>
      </c>
      <c r="S5" s="0" t="s">
        <v>1078</v>
      </c>
      <c r="T5" s="0" t="s">
        <v>3751</v>
      </c>
      <c r="U5" s="0" t="s">
        <v>3752</v>
      </c>
      <c r="V5" s="0" t="s">
        <v>3763</v>
      </c>
      <c r="W5" s="0" t="s">
        <v>3754</v>
      </c>
      <c r="X5" s="0" t="s">
        <v>3755</v>
      </c>
      <c r="Y5" s="0" t="s">
        <v>3756</v>
      </c>
      <c r="Z5" s="0" t="s">
        <v>3764</v>
      </c>
      <c r="AA5" s="0" t="s">
        <v>3758</v>
      </c>
      <c r="AB5" s="0" t="s">
        <v>3763</v>
      </c>
      <c r="AC5" s="0" t="s">
        <v>63</v>
      </c>
      <c r="AD5" s="0" t="s">
        <v>63</v>
      </c>
      <c r="AE5" s="0" t="s">
        <v>63</v>
      </c>
      <c r="AF5" s="0" t="s">
        <v>3765</v>
      </c>
      <c r="AG5" s="0" t="s">
        <v>3766</v>
      </c>
      <c r="AH5" s="0" t="s">
        <v>3765</v>
      </c>
      <c r="AI5" s="0" t="s">
        <v>3766</v>
      </c>
      <c r="AJ5" s="0" t="s">
        <v>3765</v>
      </c>
      <c r="AK5" s="0" t="s">
        <v>3766</v>
      </c>
      <c r="AL5" s="0" t="s">
        <v>3767</v>
      </c>
    </row>
    <row customHeight="1" ht="11.25">
      <c r="A6" s="0" t="s">
        <v>22</v>
      </c>
      <c r="B6" s="0" t="s">
        <v>49</v>
      </c>
      <c r="C6" s="0" t="s">
        <v>51</v>
      </c>
      <c r="D6" s="0" t="s">
        <v>22</v>
      </c>
      <c r="E6" s="0" t="s">
        <v>1075</v>
      </c>
      <c r="F6" s="0" t="s">
        <v>1076</v>
      </c>
      <c r="G6" s="0" t="s">
        <v>106</v>
      </c>
      <c r="H6" s="0" t="s">
        <v>106</v>
      </c>
      <c r="I6" s="0" t="s">
        <v>107</v>
      </c>
      <c r="J6" s="0" t="s">
        <v>1077</v>
      </c>
      <c r="K6" s="0" t="s">
        <v>1078</v>
      </c>
      <c r="L6" s="0" t="s">
        <v>1079</v>
      </c>
      <c r="M6" s="0" t="s">
        <v>1080</v>
      </c>
      <c r="N6" s="0" t="s">
        <v>118</v>
      </c>
      <c r="O6" s="0" t="s">
        <v>106</v>
      </c>
      <c r="P6" s="0" t="s">
        <v>106</v>
      </c>
      <c r="Q6" s="0" t="s">
        <v>107</v>
      </c>
      <c r="R6" s="0" t="s">
        <v>1077</v>
      </c>
      <c r="S6" s="0" t="s">
        <v>1078</v>
      </c>
      <c r="T6" s="0" t="s">
        <v>3751</v>
      </c>
      <c r="U6" s="0" t="s">
        <v>3752</v>
      </c>
      <c r="V6" s="0" t="s">
        <v>3768</v>
      </c>
      <c r="W6" s="0" t="s">
        <v>3754</v>
      </c>
      <c r="X6" s="0" t="s">
        <v>3769</v>
      </c>
      <c r="Y6" s="0" t="s">
        <v>3770</v>
      </c>
      <c r="Z6" s="0" t="s">
        <v>3771</v>
      </c>
      <c r="AA6" s="0" t="s">
        <v>3772</v>
      </c>
      <c r="AB6" s="0" t="s">
        <v>3773</v>
      </c>
      <c r="AC6" s="0" t="s">
        <v>63</v>
      </c>
      <c r="AD6" s="0" t="s">
        <v>63</v>
      </c>
      <c r="AE6" s="0" t="s">
        <v>63</v>
      </c>
      <c r="AF6" s="0" t="s">
        <v>3774</v>
      </c>
      <c r="AG6" s="0" t="s">
        <v>3775</v>
      </c>
      <c r="AH6" s="0" t="s">
        <v>3774</v>
      </c>
      <c r="AI6" s="0" t="s">
        <v>3775</v>
      </c>
      <c r="AJ6" s="0" t="s">
        <v>3774</v>
      </c>
      <c r="AK6" s="0" t="s">
        <v>3775</v>
      </c>
      <c r="AL6" s="0" t="s">
        <v>3767</v>
      </c>
    </row>
    <row customHeight="1" ht="11.25">
      <c r="A7" s="0" t="s">
        <v>22</v>
      </c>
      <c r="B7" s="0" t="s">
        <v>49</v>
      </c>
      <c r="C7" s="0" t="s">
        <v>51</v>
      </c>
      <c r="D7" s="0" t="s">
        <v>22</v>
      </c>
      <c r="E7" s="0" t="s">
        <v>1075</v>
      </c>
      <c r="F7" s="0" t="s">
        <v>1076</v>
      </c>
      <c r="G7" s="0" t="s">
        <v>106</v>
      </c>
      <c r="H7" s="0" t="s">
        <v>106</v>
      </c>
      <c r="I7" s="0" t="s">
        <v>107</v>
      </c>
      <c r="J7" s="0" t="s">
        <v>1077</v>
      </c>
      <c r="K7" s="0" t="s">
        <v>1078</v>
      </c>
      <c r="L7" s="0" t="s">
        <v>1079</v>
      </c>
      <c r="M7" s="0" t="s">
        <v>1080</v>
      </c>
      <c r="N7" s="0" t="s">
        <v>118</v>
      </c>
      <c r="O7" s="0" t="s">
        <v>106</v>
      </c>
      <c r="P7" s="0" t="s">
        <v>106</v>
      </c>
      <c r="Q7" s="0" t="s">
        <v>107</v>
      </c>
      <c r="R7" s="0" t="s">
        <v>1077</v>
      </c>
      <c r="S7" s="0" t="s">
        <v>1078</v>
      </c>
      <c r="T7" s="0" t="s">
        <v>3751</v>
      </c>
      <c r="U7" s="0" t="s">
        <v>3752</v>
      </c>
      <c r="V7" s="0" t="s">
        <v>3768</v>
      </c>
      <c r="W7" s="0" t="s">
        <v>3754</v>
      </c>
      <c r="X7" s="0" t="s">
        <v>3769</v>
      </c>
      <c r="Y7" s="0" t="s">
        <v>3770</v>
      </c>
      <c r="Z7" s="0" t="s">
        <v>3771</v>
      </c>
      <c r="AA7" s="0" t="s">
        <v>3772</v>
      </c>
      <c r="AB7" s="0" t="s">
        <v>3773</v>
      </c>
      <c r="AC7" s="0" t="s">
        <v>63</v>
      </c>
      <c r="AD7" s="0" t="s">
        <v>63</v>
      </c>
      <c r="AE7" s="0" t="s">
        <v>63</v>
      </c>
      <c r="AF7" s="0" t="s">
        <v>3774</v>
      </c>
      <c r="AG7" s="0" t="s">
        <v>3776</v>
      </c>
      <c r="AH7" s="0" t="s">
        <v>3774</v>
      </c>
      <c r="AI7" s="0" t="s">
        <v>3776</v>
      </c>
      <c r="AJ7" s="0" t="s">
        <v>3774</v>
      </c>
      <c r="AK7" s="0" t="s">
        <v>3776</v>
      </c>
      <c r="AL7" s="0" t="s">
        <v>3767</v>
      </c>
    </row>
    <row customHeight="1" ht="11.25">
      <c r="A8" s="0" t="s">
        <v>22</v>
      </c>
      <c r="B8" s="0" t="s">
        <v>49</v>
      </c>
      <c r="C8" s="0" t="s">
        <v>51</v>
      </c>
      <c r="D8" s="0" t="s">
        <v>22</v>
      </c>
      <c r="E8" s="0" t="s">
        <v>1112</v>
      </c>
      <c r="F8" s="0" t="s">
        <v>1076</v>
      </c>
      <c r="G8" s="0" t="s">
        <v>106</v>
      </c>
      <c r="H8" s="0" t="s">
        <v>106</v>
      </c>
      <c r="I8" s="0" t="s">
        <v>107</v>
      </c>
      <c r="J8" s="0" t="s">
        <v>1077</v>
      </c>
      <c r="K8" s="0" t="s">
        <v>1078</v>
      </c>
      <c r="L8" s="0" t="s">
        <v>1113</v>
      </c>
      <c r="M8" s="0" t="s">
        <v>1114</v>
      </c>
      <c r="N8" s="0" t="s">
        <v>118</v>
      </c>
      <c r="O8" s="0" t="s">
        <v>106</v>
      </c>
      <c r="P8" s="0" t="s">
        <v>106</v>
      </c>
      <c r="Q8" s="0" t="s">
        <v>107</v>
      </c>
      <c r="R8" s="0" t="s">
        <v>1077</v>
      </c>
      <c r="S8" s="0" t="s">
        <v>1078</v>
      </c>
      <c r="T8" s="0" t="s">
        <v>3751</v>
      </c>
      <c r="U8" s="0" t="s">
        <v>3752</v>
      </c>
      <c r="V8" s="0" t="s">
        <v>3763</v>
      </c>
      <c r="W8" s="0" t="s">
        <v>3754</v>
      </c>
      <c r="X8" s="0" t="s">
        <v>3755</v>
      </c>
      <c r="Y8" s="0" t="s">
        <v>3756</v>
      </c>
      <c r="Z8" s="0" t="s">
        <v>3777</v>
      </c>
      <c r="AA8" s="0" t="s">
        <v>3758</v>
      </c>
      <c r="AB8" s="0" t="s">
        <v>3763</v>
      </c>
      <c r="AC8" s="0" t="s">
        <v>19</v>
      </c>
      <c r="AD8" s="0" t="s">
        <v>63</v>
      </c>
      <c r="AE8" s="0" t="s">
        <v>19</v>
      </c>
      <c r="AF8" s="0" t="s">
        <v>3778</v>
      </c>
      <c r="AG8" s="0" t="s">
        <v>3779</v>
      </c>
      <c r="AH8" s="0" t="s">
        <v>3778</v>
      </c>
      <c r="AI8" s="0" t="s">
        <v>3779</v>
      </c>
      <c r="AJ8" s="0" t="s">
        <v>3778</v>
      </c>
      <c r="AK8" s="0" t="s">
        <v>3779</v>
      </c>
      <c r="AL8" s="0" t="s">
        <v>3767</v>
      </c>
    </row>
    <row customHeight="1" ht="11.25">
      <c r="A9" s="0" t="s">
        <v>22</v>
      </c>
      <c r="B9" s="0" t="s">
        <v>49</v>
      </c>
      <c r="C9" s="0" t="s">
        <v>51</v>
      </c>
      <c r="D9" s="0" t="s">
        <v>22</v>
      </c>
      <c r="E9" s="0" t="s">
        <v>1112</v>
      </c>
      <c r="F9" s="0" t="s">
        <v>1076</v>
      </c>
      <c r="G9" s="0" t="s">
        <v>106</v>
      </c>
      <c r="H9" s="0" t="s">
        <v>106</v>
      </c>
      <c r="I9" s="0" t="s">
        <v>107</v>
      </c>
      <c r="J9" s="0" t="s">
        <v>1077</v>
      </c>
      <c r="K9" s="0" t="s">
        <v>1078</v>
      </c>
      <c r="L9" s="0" t="s">
        <v>1113</v>
      </c>
      <c r="M9" s="0" t="s">
        <v>1114</v>
      </c>
      <c r="N9" s="0" t="s">
        <v>118</v>
      </c>
      <c r="O9" s="0" t="s">
        <v>106</v>
      </c>
      <c r="P9" s="0" t="s">
        <v>106</v>
      </c>
      <c r="Q9" s="0" t="s">
        <v>107</v>
      </c>
      <c r="R9" s="0" t="s">
        <v>1077</v>
      </c>
      <c r="S9" s="0" t="s">
        <v>1078</v>
      </c>
      <c r="T9" s="0" t="s">
        <v>3751</v>
      </c>
      <c r="U9" s="0" t="s">
        <v>3752</v>
      </c>
      <c r="V9" s="0" t="s">
        <v>3763</v>
      </c>
      <c r="W9" s="0" t="s">
        <v>3754</v>
      </c>
      <c r="X9" s="0" t="s">
        <v>3755</v>
      </c>
      <c r="Y9" s="0" t="s">
        <v>3756</v>
      </c>
      <c r="Z9" s="0" t="s">
        <v>3777</v>
      </c>
      <c r="AA9" s="0" t="s">
        <v>3758</v>
      </c>
      <c r="AB9" s="0" t="s">
        <v>3763</v>
      </c>
      <c r="AC9" s="0" t="s">
        <v>63</v>
      </c>
      <c r="AD9" s="0" t="s">
        <v>63</v>
      </c>
      <c r="AE9" s="0" t="s">
        <v>63</v>
      </c>
      <c r="AF9" s="0" t="s">
        <v>3778</v>
      </c>
      <c r="AG9" s="0" t="s">
        <v>3780</v>
      </c>
      <c r="AH9" s="0" t="s">
        <v>3778</v>
      </c>
      <c r="AI9" s="0" t="s">
        <v>3780</v>
      </c>
      <c r="AJ9" s="0" t="s">
        <v>3778</v>
      </c>
      <c r="AK9" s="0" t="s">
        <v>3780</v>
      </c>
      <c r="AL9" s="0" t="s">
        <v>3767</v>
      </c>
    </row>
    <row customHeight="1" ht="11.25">
      <c r="A10" s="0" t="s">
        <v>22</v>
      </c>
      <c r="B10" s="0" t="s">
        <v>49</v>
      </c>
      <c r="C10" s="0" t="s">
        <v>51</v>
      </c>
      <c r="D10" s="0" t="s">
        <v>22</v>
      </c>
      <c r="E10" s="0" t="s">
        <v>1096</v>
      </c>
      <c r="F10" s="0" t="s">
        <v>1097</v>
      </c>
      <c r="G10" s="0" t="s">
        <v>106</v>
      </c>
      <c r="H10" s="0" t="s">
        <v>106</v>
      </c>
      <c r="I10" s="0" t="s">
        <v>107</v>
      </c>
      <c r="J10" s="0" t="s">
        <v>1077</v>
      </c>
      <c r="K10" s="0" t="s">
        <v>1078</v>
      </c>
      <c r="L10" s="0" t="s">
        <v>1098</v>
      </c>
      <c r="M10" s="0" t="s">
        <v>1099</v>
      </c>
      <c r="N10" s="0" t="s">
        <v>118</v>
      </c>
      <c r="O10" s="0" t="s">
        <v>106</v>
      </c>
      <c r="P10" s="0" t="s">
        <v>106</v>
      </c>
      <c r="Q10" s="0" t="s">
        <v>107</v>
      </c>
      <c r="R10" s="0" t="s">
        <v>1077</v>
      </c>
      <c r="S10" s="0" t="s">
        <v>1078</v>
      </c>
      <c r="T10" s="0" t="s">
        <v>3751</v>
      </c>
      <c r="U10" s="0" t="s">
        <v>3752</v>
      </c>
      <c r="V10" s="0" t="s">
        <v>3763</v>
      </c>
      <c r="W10" s="0" t="s">
        <v>3754</v>
      </c>
      <c r="X10" s="0" t="s">
        <v>3755</v>
      </c>
      <c r="Y10" s="0" t="s">
        <v>3756</v>
      </c>
      <c r="Z10" s="0" t="s">
        <v>3781</v>
      </c>
      <c r="AA10" s="0" t="s">
        <v>3758</v>
      </c>
      <c r="AB10" s="0" t="s">
        <v>3763</v>
      </c>
      <c r="AC10" s="0" t="s">
        <v>19</v>
      </c>
      <c r="AD10" s="0" t="s">
        <v>63</v>
      </c>
      <c r="AE10" s="0" t="s">
        <v>19</v>
      </c>
      <c r="AF10" s="0" t="s">
        <v>22</v>
      </c>
      <c r="AG10" s="0" t="s">
        <v>22</v>
      </c>
      <c r="AH10" s="0" t="s">
        <v>3782</v>
      </c>
      <c r="AI10" s="0" t="s">
        <v>3783</v>
      </c>
      <c r="AJ10" s="0" t="s">
        <v>3782</v>
      </c>
      <c r="AK10" s="0" t="s">
        <v>3783</v>
      </c>
      <c r="AL10" s="0" t="s">
        <v>22</v>
      </c>
    </row>
    <row customHeight="1" ht="11.25">
      <c r="A11" s="0" t="s">
        <v>22</v>
      </c>
      <c r="B11" s="0" t="s">
        <v>49</v>
      </c>
      <c r="C11" s="0" t="s">
        <v>51</v>
      </c>
      <c r="D11" s="0" t="s">
        <v>22</v>
      </c>
      <c r="E11" s="0" t="s">
        <v>1096</v>
      </c>
      <c r="F11" s="0" t="s">
        <v>1097</v>
      </c>
      <c r="G11" s="0" t="s">
        <v>106</v>
      </c>
      <c r="H11" s="0" t="s">
        <v>106</v>
      </c>
      <c r="I11" s="0" t="s">
        <v>107</v>
      </c>
      <c r="J11" s="0" t="s">
        <v>1077</v>
      </c>
      <c r="K11" s="0" t="s">
        <v>1078</v>
      </c>
      <c r="L11" s="0" t="s">
        <v>1098</v>
      </c>
      <c r="M11" s="0" t="s">
        <v>1099</v>
      </c>
      <c r="N11" s="0" t="s">
        <v>118</v>
      </c>
      <c r="O11" s="0" t="s">
        <v>106</v>
      </c>
      <c r="P11" s="0" t="s">
        <v>106</v>
      </c>
      <c r="Q11" s="0" t="s">
        <v>107</v>
      </c>
      <c r="R11" s="0" t="s">
        <v>1077</v>
      </c>
      <c r="S11" s="0" t="s">
        <v>1078</v>
      </c>
      <c r="T11" s="0" t="s">
        <v>3751</v>
      </c>
      <c r="U11" s="0" t="s">
        <v>3752</v>
      </c>
      <c r="V11" s="0" t="s">
        <v>3763</v>
      </c>
      <c r="W11" s="0" t="s">
        <v>3754</v>
      </c>
      <c r="X11" s="0" t="s">
        <v>3755</v>
      </c>
      <c r="Y11" s="0" t="s">
        <v>3756</v>
      </c>
      <c r="Z11" s="0" t="s">
        <v>3781</v>
      </c>
      <c r="AA11" s="0" t="s">
        <v>3758</v>
      </c>
      <c r="AB11" s="0" t="s">
        <v>3763</v>
      </c>
      <c r="AC11" s="0" t="s">
        <v>19</v>
      </c>
      <c r="AD11" s="0" t="s">
        <v>63</v>
      </c>
      <c r="AE11" s="0" t="s">
        <v>19</v>
      </c>
      <c r="AF11" s="0" t="s">
        <v>22</v>
      </c>
      <c r="AG11" s="0" t="s">
        <v>22</v>
      </c>
      <c r="AH11" s="0" t="s">
        <v>3782</v>
      </c>
      <c r="AI11" s="0" t="s">
        <v>3783</v>
      </c>
      <c r="AJ11" s="0" t="s">
        <v>3782</v>
      </c>
      <c r="AK11" s="0" t="s">
        <v>3783</v>
      </c>
      <c r="AL11" s="0" t="s">
        <v>22</v>
      </c>
    </row>
    <row customHeight="1" ht="11.25">
      <c r="A12" s="0" t="s">
        <v>22</v>
      </c>
      <c r="B12" s="0" t="s">
        <v>49</v>
      </c>
      <c r="C12" s="0" t="s">
        <v>51</v>
      </c>
      <c r="D12" s="0" t="s">
        <v>22</v>
      </c>
      <c r="E12" s="0" t="s">
        <v>1256</v>
      </c>
      <c r="F12" s="0" t="s">
        <v>1076</v>
      </c>
      <c r="G12" s="0" t="s">
        <v>110</v>
      </c>
      <c r="H12" s="0" t="s">
        <v>110</v>
      </c>
      <c r="I12" s="0" t="s">
        <v>111</v>
      </c>
      <c r="J12" s="0" t="s">
        <v>1257</v>
      </c>
      <c r="K12" s="0" t="s">
        <v>1258</v>
      </c>
      <c r="L12" s="0" t="s">
        <v>1259</v>
      </c>
      <c r="M12" s="0" t="s">
        <v>103</v>
      </c>
      <c r="N12" s="0" t="s">
        <v>118</v>
      </c>
      <c r="O12" s="0" t="s">
        <v>3784</v>
      </c>
      <c r="P12" s="0" t="s">
        <v>3784</v>
      </c>
      <c r="Q12" s="0" t="s">
        <v>111</v>
      </c>
      <c r="R12" s="0" t="s">
        <v>1257</v>
      </c>
      <c r="S12" s="0" t="s">
        <v>1258</v>
      </c>
      <c r="T12" s="0" t="s">
        <v>3751</v>
      </c>
      <c r="U12" s="0" t="s">
        <v>3752</v>
      </c>
      <c r="V12" s="0" t="s">
        <v>3785</v>
      </c>
      <c r="W12" s="0" t="s">
        <v>3754</v>
      </c>
      <c r="X12" s="0" t="s">
        <v>3755</v>
      </c>
      <c r="Y12" s="0" t="s">
        <v>3756</v>
      </c>
      <c r="Z12" s="0" t="s">
        <v>3786</v>
      </c>
      <c r="AA12" s="0" t="s">
        <v>3758</v>
      </c>
      <c r="AB12" s="0" t="s">
        <v>3785</v>
      </c>
      <c r="AC12" s="0" t="s">
        <v>63</v>
      </c>
      <c r="AD12" s="0" t="s">
        <v>63</v>
      </c>
      <c r="AE12" s="0" t="s">
        <v>63</v>
      </c>
      <c r="AF12" s="0" t="s">
        <v>3787</v>
      </c>
      <c r="AG12" s="0" t="s">
        <v>3788</v>
      </c>
      <c r="AH12" s="0" t="s">
        <v>3787</v>
      </c>
      <c r="AI12" s="0" t="s">
        <v>3788</v>
      </c>
      <c r="AJ12" s="0" t="s">
        <v>3787</v>
      </c>
      <c r="AK12" s="0" t="s">
        <v>3788</v>
      </c>
      <c r="AL12" s="0" t="s">
        <v>3789</v>
      </c>
    </row>
    <row customHeight="1" ht="11.25">
      <c r="A13" s="0" t="s">
        <v>22</v>
      </c>
      <c r="B13" s="0" t="s">
        <v>49</v>
      </c>
      <c r="C13" s="0" t="s">
        <v>51</v>
      </c>
      <c r="D13" s="0" t="s">
        <v>22</v>
      </c>
      <c r="E13" s="0" t="s">
        <v>1256</v>
      </c>
      <c r="F13" s="0" t="s">
        <v>1076</v>
      </c>
      <c r="G13" s="0" t="s">
        <v>110</v>
      </c>
      <c r="H13" s="0" t="s">
        <v>110</v>
      </c>
      <c r="I13" s="0" t="s">
        <v>111</v>
      </c>
      <c r="J13" s="0" t="s">
        <v>1257</v>
      </c>
      <c r="K13" s="0" t="s">
        <v>1258</v>
      </c>
      <c r="L13" s="0" t="s">
        <v>1259</v>
      </c>
      <c r="M13" s="0" t="s">
        <v>103</v>
      </c>
      <c r="N13" s="0" t="s">
        <v>118</v>
      </c>
      <c r="O13" s="0" t="s">
        <v>3784</v>
      </c>
      <c r="P13" s="0" t="s">
        <v>3784</v>
      </c>
      <c r="Q13" s="0" t="s">
        <v>111</v>
      </c>
      <c r="R13" s="0" t="s">
        <v>1257</v>
      </c>
      <c r="S13" s="0" t="s">
        <v>1258</v>
      </c>
      <c r="T13" s="0" t="s">
        <v>3751</v>
      </c>
      <c r="U13" s="0" t="s">
        <v>3752</v>
      </c>
      <c r="V13" s="0" t="s">
        <v>3785</v>
      </c>
      <c r="W13" s="0" t="s">
        <v>3754</v>
      </c>
      <c r="X13" s="0" t="s">
        <v>3755</v>
      </c>
      <c r="Y13" s="0" t="s">
        <v>3756</v>
      </c>
      <c r="Z13" s="0" t="s">
        <v>3786</v>
      </c>
      <c r="AA13" s="0" t="s">
        <v>3758</v>
      </c>
      <c r="AB13" s="0" t="s">
        <v>3785</v>
      </c>
      <c r="AC13" s="0" t="s">
        <v>63</v>
      </c>
      <c r="AD13" s="0" t="s">
        <v>63</v>
      </c>
      <c r="AE13" s="0" t="s">
        <v>63</v>
      </c>
      <c r="AF13" s="0" t="s">
        <v>3787</v>
      </c>
      <c r="AG13" s="0" t="s">
        <v>3788</v>
      </c>
      <c r="AH13" s="0" t="s">
        <v>3787</v>
      </c>
      <c r="AI13" s="0" t="s">
        <v>3788</v>
      </c>
      <c r="AJ13" s="0" t="s">
        <v>3787</v>
      </c>
      <c r="AK13" s="0" t="s">
        <v>3788</v>
      </c>
      <c r="AL13" s="0" t="s">
        <v>3790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B7C8C1-A2F8-333F-3A31-0.1A5CDF0F}"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41" width="9.140625" hidden="1" customWidth="1"/>
    <col min="2" max="2" style="1644" width="9.140625" hidden="1" customWidth="1"/>
    <col min="3" max="3" style="1848" width="3.00390625" customWidth="1"/>
    <col min="4" max="4" style="1644" width="5.00390625" customWidth="1"/>
    <col min="5" max="5" style="1644" width="48.00390625" customWidth="1"/>
    <col min="6" max="6" style="1644" width="38.00390625" customWidth="1"/>
    <col min="7" max="7" style="1644" width="1.7109375" hidden="1" customWidth="1"/>
    <col min="8" max="11" style="1644" width="19.8515625" customWidth="1"/>
    <col min="12" max="12" style="1644" width="9.7109375" customWidth="1"/>
    <col min="13" max="18" style="1644" width="19.8515625" customWidth="1"/>
    <col min="19" max="19" style="1644" width="1.7109375" hidden="1" customWidth="1"/>
    <col min="20" max="22" style="1644" width="19.8515625" hidden="1" customWidth="1"/>
    <col min="23" max="23" style="1644" width="1.7109375" hidden="1" customWidth="1"/>
    <col min="24" max="26" style="1644" width="19.8515625" hidden="1" customWidth="1"/>
    <col min="27" max="27" style="1644" width="1.7109375" hidden="1" customWidth="1"/>
    <col min="28" max="29" style="1644" width="19.8515625" hidden="1" customWidth="1"/>
    <col min="30" max="30" style="1644" width="1.7109375" hidden="1" customWidth="1"/>
    <col min="31" max="31" style="1644" width="103.7109375" customWidth="1"/>
    <col min="32" max="34" style="1644" width="103.7109375" hidden="1" customWidth="1"/>
    <col min="35" max="35" style="1827" width="3.00390625" customWidth="1"/>
    <col min="36" max="38" style="1651" width="10.00390625" customWidth="1"/>
    <col min="39" max="39" style="1651" width="13.7109375" hidden="1" customWidth="1"/>
    <col min="40" max="40" style="1651" width="15.00390625" customWidth="1"/>
    <col min="41" max="41" style="1651" width="16.00390625" customWidth="1"/>
    <col min="42" max="45" style="1651" width="10.00390625" customWidth="1"/>
    <col min="46" max="46" style="1644" width="10.57421875" hidden="1"/>
  </cols>
  <sheetData>
    <row customHeight="1" ht="22.5" hidden="1">
      <c r="E1" s="421"/>
      <c r="F1" s="421"/>
      <c r="G1" s="421"/>
      <c r="H1" s="2245" t="s">
        <v>367</v>
      </c>
      <c r="I1" s="2245"/>
      <c r="J1" s="2245"/>
      <c r="K1" s="2245"/>
      <c r="L1" s="2245"/>
      <c r="M1" s="2245"/>
      <c r="N1" s="2245"/>
      <c r="O1" s="2245"/>
      <c r="P1" s="2245"/>
      <c r="Q1" s="2245"/>
      <c r="R1" s="2245"/>
      <c r="T1" s="2245" t="s">
        <v>368</v>
      </c>
      <c r="U1" s="2245"/>
      <c r="V1" s="2245"/>
      <c r="X1" s="2245" t="s">
        <v>369</v>
      </c>
      <c r="Y1" s="2245"/>
      <c r="Z1" s="2245"/>
      <c r="AB1" s="2245" t="s">
        <v>370</v>
      </c>
      <c r="AC1" s="2245"/>
      <c r="AT1" s="456" t="s">
        <v>14</v>
      </c>
    </row>
    <row customHeight="1" ht="14.25" hidden="1">
      <c r="AT2" s="456">
        <v>0</v>
      </c>
    </row>
    <row s="1622" customFormat="1" customHeight="1" ht="5.25">
      <c r="C3" s="710"/>
      <c r="D3" s="711"/>
      <c r="E3" s="711"/>
      <c r="F3" s="711"/>
      <c r="G3" s="711"/>
      <c r="H3" s="711" t="s">
        <v>371</v>
      </c>
      <c r="I3" s="711"/>
      <c r="J3" s="711"/>
      <c r="K3" s="711"/>
      <c r="L3" s="711"/>
      <c r="M3" s="711"/>
      <c r="N3" s="711"/>
      <c r="O3" s="711"/>
      <c r="P3" s="711"/>
      <c r="Q3" s="711"/>
      <c r="R3" s="711"/>
      <c r="S3" s="711"/>
      <c r="T3" s="711"/>
      <c r="U3" s="711"/>
      <c r="V3" s="711"/>
      <c r="W3" s="711"/>
      <c r="X3" s="711"/>
      <c r="Y3" s="711"/>
      <c r="Z3" s="711"/>
      <c r="AA3" s="711"/>
      <c r="AB3" s="711"/>
      <c r="AC3" s="711"/>
      <c r="AD3" s="711"/>
      <c r="AE3" s="711"/>
      <c r="AF3" s="711"/>
      <c r="AG3" s="711"/>
      <c r="AH3" s="711"/>
      <c r="AJ3" s="520"/>
      <c r="AK3" s="520"/>
      <c r="AL3" s="520"/>
      <c r="AM3" s="520"/>
      <c r="AN3" s="520"/>
      <c r="AO3" s="520"/>
      <c r="AP3" s="520"/>
      <c r="AQ3" s="520"/>
      <c r="AR3" s="520"/>
      <c r="AS3" s="520"/>
      <c r="AT3" s="709">
        <v>5</v>
      </c>
    </row>
    <row customHeight="1" ht="39.75">
      <c r="C4" s="459"/>
      <c r="D4" s="218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86"/>
      <c r="F4" s="2186"/>
      <c r="G4" s="2186"/>
      <c r="H4" s="2186"/>
      <c r="I4" s="2186"/>
      <c r="J4" s="2186"/>
      <c r="K4" s="2186"/>
      <c r="L4" s="2186"/>
      <c r="M4" s="2186"/>
      <c r="N4" s="2186"/>
      <c r="O4" s="2186"/>
      <c r="P4" s="2186"/>
      <c r="Q4" s="2186"/>
      <c r="R4" s="2187"/>
      <c r="S4" s="862"/>
      <c r="T4" s="708"/>
      <c r="U4" s="708"/>
      <c r="V4" s="708"/>
      <c r="W4" s="708"/>
      <c r="X4" s="708"/>
      <c r="Y4" s="708"/>
      <c r="Z4" s="708"/>
      <c r="AA4" s="708"/>
      <c r="AB4" s="708"/>
      <c r="AC4" s="708"/>
      <c r="AD4" s="708"/>
      <c r="AE4" s="500"/>
      <c r="AF4" s="500"/>
      <c r="AG4" s="500"/>
      <c r="AH4" s="500"/>
      <c r="AI4" s="497"/>
      <c r="AT4" s="456">
        <v>38</v>
      </c>
    </row>
    <row s="1644" customFormat="1" customHeight="1" ht="18">
      <c r="A5" s="768"/>
      <c r="C5" s="831"/>
      <c r="D5" s="2242" t="str">
        <f>IF(org=0,"Не определено",org)</f>
        <v>АО "ДГК"</v>
      </c>
      <c r="E5" s="2243"/>
      <c r="F5" s="2243"/>
      <c r="G5" s="2243"/>
      <c r="H5" s="2243"/>
      <c r="I5" s="2243"/>
      <c r="J5" s="2243"/>
      <c r="K5" s="2243"/>
      <c r="L5" s="2243"/>
      <c r="M5" s="2243"/>
      <c r="N5" s="2243"/>
      <c r="O5" s="2243"/>
      <c r="P5" s="2243"/>
      <c r="Q5" s="2243"/>
      <c r="R5" s="2244"/>
      <c r="S5" s="862"/>
      <c r="T5" s="708"/>
      <c r="U5" s="708"/>
      <c r="V5" s="708"/>
      <c r="W5" s="708"/>
      <c r="X5" s="708"/>
      <c r="Y5" s="708"/>
      <c r="Z5" s="708"/>
      <c r="AA5" s="708"/>
      <c r="AB5" s="708"/>
      <c r="AC5" s="708"/>
      <c r="AD5" s="708"/>
      <c r="AE5" s="500"/>
      <c r="AF5" s="500"/>
      <c r="AG5" s="500"/>
      <c r="AH5" s="500"/>
      <c r="AI5" s="497"/>
      <c r="AJ5" s="520"/>
      <c r="AK5" s="520"/>
      <c r="AL5" s="520"/>
      <c r="AM5" s="520"/>
      <c r="AN5" s="520"/>
      <c r="AO5" s="520"/>
      <c r="AP5" s="520"/>
      <c r="AQ5" s="520"/>
      <c r="AR5" s="520"/>
      <c r="AS5" s="520"/>
      <c r="AT5" s="767">
        <v>17</v>
      </c>
    </row>
    <row s="1621" customFormat="1" customHeight="1" ht="11.549999999999999">
      <c r="A6" s="488"/>
      <c r="C6" s="495"/>
      <c r="D6" s="494"/>
      <c r="E6" s="494"/>
      <c r="F6" s="494"/>
      <c r="G6" s="494"/>
      <c r="H6" s="494"/>
      <c r="I6" s="494"/>
      <c r="J6" s="494"/>
      <c r="K6" s="494"/>
      <c r="L6" s="494"/>
      <c r="M6" s="494"/>
      <c r="N6" s="494"/>
      <c r="O6" s="494"/>
      <c r="P6" s="494"/>
      <c r="Q6" s="494"/>
      <c r="R6" s="761"/>
      <c r="S6" s="761"/>
      <c r="T6" s="494"/>
      <c r="U6" s="494"/>
      <c r="V6" s="721"/>
      <c r="W6" s="721"/>
      <c r="X6" s="494"/>
      <c r="Y6" s="494"/>
      <c r="Z6" s="721"/>
      <c r="AA6" s="721"/>
      <c r="AB6" s="494"/>
      <c r="AC6" s="721"/>
      <c r="AD6" s="721"/>
      <c r="AE6" s="494"/>
      <c r="AF6" s="494"/>
      <c r="AG6" s="494"/>
      <c r="AH6" s="494"/>
      <c r="AJ6" s="498"/>
      <c r="AK6" s="498"/>
      <c r="AL6" s="498"/>
      <c r="AM6" s="498"/>
      <c r="AN6" s="498"/>
      <c r="AO6" s="498"/>
      <c r="AP6" s="498"/>
      <c r="AQ6" s="498"/>
      <c r="AR6" s="498"/>
      <c r="AS6" s="498"/>
      <c r="AT6" s="489">
        <v>11</v>
      </c>
    </row>
    <row customHeight="1" ht="14.699999999999998">
      <c r="C7" s="459"/>
      <c r="D7" s="2246" t="s">
        <v>315</v>
      </c>
      <c r="E7" s="2247"/>
      <c r="F7" s="2247"/>
      <c r="G7" s="2247"/>
      <c r="H7" s="2247"/>
      <c r="I7" s="2247"/>
      <c r="J7" s="2247"/>
      <c r="K7" s="2247"/>
      <c r="L7" s="2247"/>
      <c r="M7" s="2247"/>
      <c r="N7" s="2247"/>
      <c r="O7" s="2247"/>
      <c r="P7" s="2247"/>
      <c r="Q7" s="2247"/>
      <c r="R7" s="2247"/>
      <c r="S7" s="2247"/>
      <c r="T7" s="2247"/>
      <c r="U7" s="2247"/>
      <c r="V7" s="2247"/>
      <c r="W7" s="2247"/>
      <c r="X7" s="2247"/>
      <c r="Y7" s="2247"/>
      <c r="Z7" s="2247"/>
      <c r="AA7" s="2247"/>
      <c r="AB7" s="2247"/>
      <c r="AC7" s="2247"/>
      <c r="AD7" s="2248"/>
      <c r="AE7" s="2251" t="s">
        <v>316</v>
      </c>
      <c r="AF7" s="2251" t="s">
        <v>316</v>
      </c>
      <c r="AG7" s="2251" t="s">
        <v>316</v>
      </c>
      <c r="AH7" s="2251" t="s">
        <v>316</v>
      </c>
      <c r="AT7" s="456">
        <v>14</v>
      </c>
    </row>
    <row customHeight="1" ht="27.299999999999997">
      <c r="C8" s="459"/>
      <c r="D8" s="2155" t="s">
        <v>89</v>
      </c>
      <c r="E8" s="2251" t="str">
        <f>"Наименование "&amp;IF(TEMPLATE_SPHERE&lt;&gt;"HEAT","централизованной ","")&amp;"системы "&amp;TEMPLATE_SPHERE_RUS</f>
        <v>Наименование системы теплоснабжения</v>
      </c>
      <c r="F8" s="2251" t="str">
        <f>IF(TEMPLATE_SPHERE&lt;&gt;"HEAT","Регулируемый вид деятельности","Вид регулируемой деятельности")</f>
        <v>Вид регулируемой деятельности</v>
      </c>
      <c r="G8" s="837"/>
      <c r="H8" s="2252" t="s">
        <v>372</v>
      </c>
      <c r="I8" s="2254" t="s">
        <v>373</v>
      </c>
      <c r="J8" s="2251" t="s">
        <v>374</v>
      </c>
      <c r="K8" s="2251"/>
      <c r="L8" s="2251"/>
      <c r="M8" s="2246"/>
      <c r="N8" s="2251" t="s">
        <v>375</v>
      </c>
      <c r="O8" s="2251"/>
      <c r="P8" s="2251" t="s">
        <v>376</v>
      </c>
      <c r="Q8" s="2251"/>
      <c r="R8" s="2258" t="s">
        <v>377</v>
      </c>
      <c r="S8" s="833"/>
      <c r="T8" s="2256" t="s">
        <v>378</v>
      </c>
      <c r="U8" s="2256" t="s">
        <v>379</v>
      </c>
      <c r="V8" s="2256" t="s">
        <v>380</v>
      </c>
      <c r="W8" s="835"/>
      <c r="X8" s="2256" t="s">
        <v>381</v>
      </c>
      <c r="Y8" s="2256" t="s">
        <v>382</v>
      </c>
      <c r="Z8" s="2256" t="s">
        <v>383</v>
      </c>
      <c r="AA8" s="835"/>
      <c r="AB8" s="2256" t="s">
        <v>384</v>
      </c>
      <c r="AC8" s="2256" t="s">
        <v>377</v>
      </c>
      <c r="AD8" s="835"/>
      <c r="AE8" s="2251"/>
      <c r="AF8" s="2251"/>
      <c r="AG8" s="2251"/>
      <c r="AH8" s="2251"/>
      <c r="AT8" s="456">
        <v>26</v>
      </c>
    </row>
    <row customHeight="1" ht="46.199999999999996">
      <c r="C9" s="459"/>
      <c r="D9" s="2155"/>
      <c r="E9" s="2251"/>
      <c r="F9" s="2251"/>
      <c r="G9" s="838"/>
      <c r="H9" s="2253"/>
      <c r="I9" s="2255"/>
      <c r="J9" s="434" t="s">
        <v>385</v>
      </c>
      <c r="K9" s="434" t="s">
        <v>386</v>
      </c>
      <c r="L9" s="434" t="s">
        <v>387</v>
      </c>
      <c r="M9" s="440" t="s">
        <v>388</v>
      </c>
      <c r="N9" s="434" t="s">
        <v>389</v>
      </c>
      <c r="O9" s="434" t="s">
        <v>388</v>
      </c>
      <c r="P9" s="434" t="s">
        <v>390</v>
      </c>
      <c r="Q9" s="434" t="s">
        <v>388</v>
      </c>
      <c r="R9" s="2259"/>
      <c r="S9" s="834"/>
      <c r="T9" s="2257"/>
      <c r="U9" s="2257"/>
      <c r="V9" s="2257"/>
      <c r="W9" s="836"/>
      <c r="X9" s="2257"/>
      <c r="Y9" s="2257"/>
      <c r="Z9" s="2257"/>
      <c r="AA9" s="836"/>
      <c r="AB9" s="2257"/>
      <c r="AC9" s="2257"/>
      <c r="AD9" s="836"/>
      <c r="AE9" s="2251"/>
      <c r="AF9" s="2251"/>
      <c r="AG9" s="2251"/>
      <c r="AH9" s="2251"/>
      <c r="AT9" s="456">
        <v>44</v>
      </c>
    </row>
    <row customHeight="1" ht="12" hidden="1">
      <c r="C10" s="496"/>
      <c r="D10" s="457"/>
      <c r="E10" s="457"/>
      <c r="F10" s="457"/>
      <c r="G10" s="457"/>
      <c r="H10" s="457"/>
      <c r="I10" s="457"/>
      <c r="J10" s="457"/>
      <c r="K10" s="457"/>
      <c r="L10" s="457"/>
      <c r="M10" s="457"/>
      <c r="N10" s="457"/>
      <c r="O10" s="457"/>
      <c r="P10" s="457"/>
      <c r="Q10" s="457"/>
      <c r="R10" s="457"/>
      <c r="S10" s="457"/>
      <c r="T10" s="457"/>
      <c r="U10" s="457"/>
      <c r="V10" s="457"/>
      <c r="W10" s="457"/>
      <c r="X10" s="457"/>
      <c r="Y10" s="457"/>
      <c r="Z10" s="457"/>
      <c r="AA10" s="457"/>
      <c r="AB10" s="457"/>
      <c r="AC10" s="457"/>
      <c r="AD10" s="457"/>
      <c r="AE10" s="457"/>
      <c r="AF10" s="457"/>
      <c r="AG10" s="457"/>
      <c r="AH10" s="457"/>
      <c r="AI10" s="456"/>
      <c r="AP10" s="509"/>
      <c r="AQ10" s="509"/>
      <c r="AT10" s="456">
        <v>0</v>
      </c>
    </row>
    <row s="1650" customFormat="1" customHeight="1" ht="11.25" hidden="1">
      <c r="C11" s="507"/>
      <c r="D11" s="508" t="s">
        <v>391</v>
      </c>
      <c r="E11" s="508"/>
      <c r="F11" s="508"/>
      <c r="G11" s="508"/>
      <c r="H11" s="506"/>
      <c r="I11" s="506"/>
      <c r="J11" s="506"/>
      <c r="K11" s="506"/>
      <c r="L11" s="506"/>
      <c r="M11" s="506"/>
      <c r="N11" s="506"/>
      <c r="O11" s="506"/>
      <c r="P11" s="506"/>
      <c r="Q11" s="506"/>
      <c r="R11" s="506"/>
      <c r="S11" s="506"/>
      <c r="T11" s="506"/>
      <c r="U11" s="506"/>
      <c r="V11" s="506"/>
      <c r="W11" s="506"/>
      <c r="X11" s="506"/>
      <c r="Y11" s="506"/>
      <c r="Z11" s="506"/>
      <c r="AA11" s="506"/>
      <c r="AB11" s="506"/>
      <c r="AC11" s="506"/>
      <c r="AD11" s="506"/>
      <c r="AE11" s="444"/>
      <c r="AF11" s="444"/>
      <c r="AG11" s="444"/>
      <c r="AH11" s="444"/>
      <c r="AJ11" s="498"/>
      <c r="AK11" s="498"/>
      <c r="AL11" s="498"/>
      <c r="AM11" s="498"/>
      <c r="AN11" s="498"/>
      <c r="AO11" s="498"/>
      <c r="AP11" s="498"/>
      <c r="AQ11" s="498"/>
      <c r="AR11" s="498"/>
      <c r="AS11" s="498"/>
      <c r="AT11" s="505">
        <v>0</v>
      </c>
    </row>
    <row customHeight="1" ht="14.699999999999998">
      <c r="A12" s="456"/>
      <c r="C12" s="459"/>
      <c r="D12" s="443" t="s">
        <v>118</v>
      </c>
      <c r="E12" s="1785" t="s">
        <v>22</v>
      </c>
      <c r="F12" s="864"/>
      <c r="G12" s="865"/>
      <c r="H12" s="1786"/>
      <c r="I12" s="1786"/>
      <c r="J12" s="442"/>
      <c r="K12" s="1869"/>
      <c r="L12" s="441"/>
      <c r="M12" s="1869"/>
      <c r="N12" s="442"/>
      <c r="O12" s="1869"/>
      <c r="P12" s="442"/>
      <c r="Q12" s="1869"/>
      <c r="R12" s="442"/>
      <c r="S12" s="863"/>
      <c r="T12" s="1786"/>
      <c r="U12" s="442"/>
      <c r="V12" s="442"/>
      <c r="W12" s="836"/>
      <c r="X12" s="1786"/>
      <c r="Y12" s="442"/>
      <c r="Z12" s="442"/>
      <c r="AA12" s="836"/>
      <c r="AB12" s="1786"/>
      <c r="AC12" s="442"/>
      <c r="AD12" s="836"/>
      <c r="AE12" s="2249" t="s">
        <v>392</v>
      </c>
      <c r="AF12" s="2249" t="s">
        <v>393</v>
      </c>
      <c r="AG12" s="2249" t="s">
        <v>394</v>
      </c>
      <c r="AH12" s="2249" t="s">
        <v>395</v>
      </c>
      <c r="AI12" s="456"/>
      <c r="AM12" s="520"/>
      <c r="AP12" s="509" t="s">
        <v>396</v>
      </c>
      <c r="AQ12" s="509" t="s">
        <v>396</v>
      </c>
      <c r="AT12" s="456">
        <v>14</v>
      </c>
    </row>
    <row customHeight="1" ht="18">
      <c r="A13" s="456"/>
      <c r="C13" s="459"/>
      <c r="D13" s="414"/>
      <c r="E13" s="878" t="str">
        <f>IF(TITLE_DIFFERENTIATION_TYPE="нет","","Добавить систему")</f>
        <v/>
      </c>
      <c r="F13" s="878" t="str">
        <f>IF(TITLE_DIFFERENTIATION_TYPE="нет","Добавить вид деятельности","")</f>
        <v>Добавить вид деятельности</v>
      </c>
      <c r="G13" s="322"/>
      <c r="H13" s="415"/>
      <c r="I13" s="415"/>
      <c r="J13" s="415"/>
      <c r="K13" s="415"/>
      <c r="L13" s="415"/>
      <c r="M13" s="415"/>
      <c r="N13" s="415"/>
      <c r="O13" s="415"/>
      <c r="P13" s="415"/>
      <c r="Q13" s="415"/>
      <c r="R13" s="415"/>
      <c r="S13" s="415"/>
      <c r="T13" s="415"/>
      <c r="U13" s="415"/>
      <c r="V13" s="415"/>
      <c r="W13" s="415"/>
      <c r="X13" s="415"/>
      <c r="Y13" s="415"/>
      <c r="Z13" s="415"/>
      <c r="AA13" s="415"/>
      <c r="AB13" s="415"/>
      <c r="AC13" s="415"/>
      <c r="AD13" s="866"/>
      <c r="AE13" s="2250"/>
      <c r="AF13" s="2250"/>
      <c r="AG13" s="2250"/>
      <c r="AH13" s="2250"/>
      <c r="AI13" s="456"/>
      <c r="AT13" s="456">
        <v>17</v>
      </c>
    </row>
    <row customHeight="1" ht="14.699999999999998">
      <c r="AI14" s="456"/>
      <c r="AT14" s="456">
        <v>14</v>
      </c>
    </row>
    <row customHeight="1" ht="14.699999999999998">
      <c r="E15" s="767"/>
      <c r="L15" s="767"/>
      <c r="AT15" s="456">
        <v>14</v>
      </c>
    </row>
    <row customHeight="1" ht="14.699999999999998">
      <c r="L16" s="767"/>
      <c r="AT16" s="456">
        <v>14</v>
      </c>
    </row>
    <row customHeight="1" ht="14.699999999999998">
      <c r="L17" s="767"/>
      <c r="AT17" s="456">
        <v>14</v>
      </c>
    </row>
    <row customHeight="1" ht="22.5" hidden="1">
      <c r="A18" s="458" t="s">
        <v>83</v>
      </c>
      <c r="B18" s="456">
        <v>0</v>
      </c>
      <c r="C18" s="460">
        <v>3</v>
      </c>
      <c r="D18" s="456">
        <v>5</v>
      </c>
      <c r="E18" s="456">
        <v>48</v>
      </c>
      <c r="F18" s="456">
        <v>38</v>
      </c>
      <c r="G18" s="767">
        <v>0</v>
      </c>
      <c r="H18" s="456">
        <v>0</v>
      </c>
      <c r="I18" s="456">
        <v>0</v>
      </c>
      <c r="J18" s="456">
        <v>0</v>
      </c>
      <c r="K18" s="456">
        <v>0</v>
      </c>
      <c r="L18" s="456">
        <v>0</v>
      </c>
      <c r="M18" s="456">
        <v>0</v>
      </c>
      <c r="N18" s="456">
        <v>0</v>
      </c>
      <c r="O18" s="456">
        <v>0</v>
      </c>
      <c r="P18" s="456">
        <v>0</v>
      </c>
      <c r="Q18" s="456">
        <v>0</v>
      </c>
      <c r="R18" s="456">
        <v>0</v>
      </c>
      <c r="S18" s="767">
        <v>0</v>
      </c>
      <c r="T18" s="514">
        <v>0</v>
      </c>
      <c r="U18" s="514">
        <v>0</v>
      </c>
      <c r="V18" s="514">
        <v>0</v>
      </c>
      <c r="W18" s="767">
        <v>0</v>
      </c>
      <c r="X18" s="514">
        <v>0</v>
      </c>
      <c r="Y18" s="514">
        <v>0</v>
      </c>
      <c r="Z18" s="514">
        <v>0</v>
      </c>
      <c r="AA18" s="767">
        <v>0</v>
      </c>
      <c r="AB18" s="514">
        <v>0</v>
      </c>
      <c r="AC18" s="514">
        <v>0</v>
      </c>
      <c r="AD18" s="767">
        <v>0</v>
      </c>
      <c r="AE18" s="456">
        <v>0</v>
      </c>
      <c r="AF18" s="514">
        <v>0</v>
      </c>
      <c r="AG18" s="514">
        <v>0</v>
      </c>
      <c r="AH18" s="514">
        <v>0</v>
      </c>
      <c r="AI18" s="461">
        <v>3</v>
      </c>
      <c r="AJ18" s="498">
        <v>10</v>
      </c>
      <c r="AK18" s="498">
        <v>10</v>
      </c>
      <c r="AL18" s="498">
        <v>10</v>
      </c>
      <c r="AM18" s="498">
        <v>0</v>
      </c>
      <c r="AN18" s="498">
        <v>15</v>
      </c>
      <c r="AO18" s="498">
        <v>16</v>
      </c>
      <c r="AP18" s="498">
        <v>10</v>
      </c>
      <c r="AQ18" s="498">
        <v>10</v>
      </c>
      <c r="AR18" s="498">
        <v>10</v>
      </c>
      <c r="AS18" s="498">
        <v>10</v>
      </c>
      <c r="AT18" s="456">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F0E70AE-E0EC-F2D6-4FE6-0.F1B23C72}"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2" style="192" width="9.140625"/>
  </cols>
  <sheetData>
    <row customHeight="1" ht="11.25">
      <c r="A1" s="192" t="s">
        <v>147</v>
      </c>
      <c r="B1" s="192" t="s">
        <v>3791</v>
      </c>
    </row>
    <row customHeight="1" ht="11.25">
      <c r="A2" s="192" t="s">
        <v>99</v>
      </c>
      <c r="B2" s="192" t="s">
        <v>3792</v>
      </c>
    </row>
    <row customHeight="1" ht="11.25">
      <c r="A3" s="192" t="s">
        <v>105</v>
      </c>
      <c r="B3" s="192" t="s">
        <v>3793</v>
      </c>
    </row>
    <row customHeight="1" ht="11.25">
      <c r="A4" s="192" t="s">
        <v>108</v>
      </c>
      <c r="B4" s="192" t="s">
        <v>3794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35AFBA-B52E-9DEC-D5FF-0.DACBE7F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 min="2" max="2" style="1699" width="65.28125" customWidth="1"/>
  </cols>
  <sheetData>
    <row customHeight="1" ht="11.25">
      <c r="A1" s="844" t="s">
        <v>3795</v>
      </c>
      <c r="B1" s="844" t="s">
        <v>3796</v>
      </c>
    </row>
    <row customHeight="1" ht="11.25">
      <c r="A2" s="844">
        <v>4213775</v>
      </c>
      <c r="B2" s="844" t="s">
        <v>1531</v>
      </c>
    </row>
    <row customHeight="1" ht="11.25">
      <c r="A3" s="844">
        <v>4213784</v>
      </c>
      <c r="B3" s="844" t="s">
        <v>1562</v>
      </c>
    </row>
    <row customHeight="1" ht="11.25">
      <c r="A4" s="844">
        <v>4213781</v>
      </c>
      <c r="B4" s="844" t="s">
        <v>1555</v>
      </c>
    </row>
    <row customHeight="1" ht="11.25">
      <c r="A5" s="844">
        <v>4213776</v>
      </c>
      <c r="B5" s="844" t="s">
        <v>183</v>
      </c>
    </row>
    <row customHeight="1" ht="11.25">
      <c r="A6" s="844">
        <v>4213777</v>
      </c>
      <c r="B6" s="844" t="s">
        <v>189</v>
      </c>
    </row>
    <row customHeight="1" ht="11.25">
      <c r="A7" s="844">
        <v>4213778</v>
      </c>
      <c r="B7" s="844" t="s">
        <v>195</v>
      </c>
    </row>
    <row customHeight="1" ht="11.25">
      <c r="A8" s="844">
        <v>4213780</v>
      </c>
      <c r="B8" s="844" t="s">
        <v>201</v>
      </c>
    </row>
    <row customHeight="1" ht="11.25">
      <c r="A9" s="844">
        <v>4213779</v>
      </c>
      <c r="B9" s="844" t="s">
        <v>1690</v>
      </c>
    </row>
    <row customHeight="1" ht="11.25">
      <c r="A10" s="844">
        <v>4213783</v>
      </c>
      <c r="B10" s="844" t="s">
        <v>1704</v>
      </c>
    </row>
    <row customHeight="1" ht="11.25">
      <c r="A11" s="844">
        <v>4213782</v>
      </c>
      <c r="B11" s="844" t="s">
        <v>207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3ED67C-AB96-8CDD-74FE-0.47DCB857}"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9" width="9.140625"/>
  </cols>
  <sheetData>
    <row customHeight="1" ht="11.25">
      <c r="A1" s="844" t="s">
        <v>3795</v>
      </c>
      <c r="B1" s="68" t="s">
        <v>3797</v>
      </c>
    </row>
    <row customHeight="1" ht="11.25">
      <c r="A2" s="844" t="s">
        <v>3798</v>
      </c>
      <c r="B2" s="0" t="s">
        <v>1791</v>
      </c>
    </row>
    <row customHeight="1" ht="11.25">
      <c r="A3" s="1699" t="s">
        <v>3799</v>
      </c>
      <c r="B3" s="0" t="s">
        <v>1800</v>
      </c>
    </row>
    <row customHeight="1" ht="11.25">
      <c r="A4" s="1699" t="s">
        <v>3800</v>
      </c>
      <c r="B4" s="0" t="s">
        <v>1808</v>
      </c>
    </row>
    <row customHeight="1" ht="11.25">
      <c r="A5" s="1699" t="s">
        <v>3801</v>
      </c>
      <c r="B5" s="0" t="s">
        <v>1817</v>
      </c>
    </row>
    <row customHeight="1" ht="11.25">
      <c r="A6" s="1699" t="s">
        <v>3802</v>
      </c>
      <c r="B6" s="0" t="s">
        <v>1822</v>
      </c>
    </row>
    <row customHeight="1" ht="11.25">
      <c r="A7" s="1699" t="s">
        <v>3803</v>
      </c>
      <c r="B7" s="0" t="s">
        <v>1829</v>
      </c>
    </row>
    <row customHeight="1" ht="11.25">
      <c r="A8" s="1699" t="s">
        <v>3804</v>
      </c>
      <c r="B8" s="0" t="s">
        <v>1835</v>
      </c>
    </row>
    <row customHeight="1" ht="11.25">
      <c r="A9" s="1699" t="s">
        <v>3805</v>
      </c>
      <c r="B9" s="0" t="s">
        <v>1840</v>
      </c>
    </row>
    <row customHeight="1" ht="11.25">
      <c r="A10" s="1699" t="s">
        <v>137</v>
      </c>
      <c r="B10" s="0" t="s">
        <v>1843</v>
      </c>
    </row>
    <row customHeight="1" ht="11.25">
      <c r="A11" s="1699" t="s">
        <v>3806</v>
      </c>
      <c r="B11" s="0" t="s">
        <v>1849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4C2051-BCC6-10EF-8451-0.593CCC57}" mc:Ignorable="x14ac xr xr2 xr3">
  <sheetPr>
    <tabColor rgb="FFFFCC99"/>
  </sheetPr>
  <dimension ref="A1:G115"/>
  <sheetViews>
    <sheetView topLeftCell="A1" showGridLines="0" workbookViewId="0">
      <selection activeCell="A1" sqref="A1"/>
    </sheetView>
  </sheetViews>
  <sheetFormatPr customHeight="1" defaultRowHeight="11.25"/>
  <sheetData>
    <row customHeight="1" ht="11.25">
      <c r="A1" s="382" t="s">
        <v>3452</v>
      </c>
      <c r="B1" s="382" t="s">
        <v>3453</v>
      </c>
      <c r="C1" s="382" t="s">
        <v>3454</v>
      </c>
      <c r="D1" s="382" t="s">
        <v>3455</v>
      </c>
      <c r="E1" s="0" t="s">
        <v>3456</v>
      </c>
      <c r="F1" s="0" t="s">
        <v>3457</v>
      </c>
      <c r="G1" s="0" t="s">
        <v>3458</v>
      </c>
    </row>
    <row customHeight="1" ht="11.25">
      <c r="A2" s="0" t="s">
        <v>16</v>
      </c>
      <c r="B2" s="0" t="s">
        <v>3459</v>
      </c>
      <c r="C2" s="0" t="s">
        <v>3460</v>
      </c>
      <c r="D2" s="0" t="s">
        <v>3459</v>
      </c>
      <c r="E2" s="0" t="s">
        <v>3460</v>
      </c>
      <c r="F2" s="0" t="s">
        <v>3461</v>
      </c>
      <c r="G2" s="0" t="s">
        <v>118</v>
      </c>
    </row>
    <row customHeight="1" ht="11.25">
      <c r="A3" s="0" t="s">
        <v>16</v>
      </c>
      <c r="B3" s="0" t="s">
        <v>3462</v>
      </c>
      <c r="C3" s="0" t="s">
        <v>3463</v>
      </c>
      <c r="D3" s="0" t="s">
        <v>3462</v>
      </c>
      <c r="E3" s="0" t="s">
        <v>3463</v>
      </c>
      <c r="F3" s="0" t="s">
        <v>3464</v>
      </c>
      <c r="G3" s="0" t="s">
        <v>103</v>
      </c>
    </row>
    <row customHeight="1" ht="11.25">
      <c r="A4" s="0" t="s">
        <v>16</v>
      </c>
      <c r="B4" s="0" t="s">
        <v>100</v>
      </c>
      <c r="C4" s="0" t="s">
        <v>101</v>
      </c>
      <c r="D4" s="0" t="s">
        <v>100</v>
      </c>
      <c r="E4" s="0" t="s">
        <v>101</v>
      </c>
      <c r="F4" s="0" t="s">
        <v>3464</v>
      </c>
      <c r="G4" s="0" t="s">
        <v>91</v>
      </c>
    </row>
    <row customHeight="1" ht="11.25">
      <c r="A5" s="0" t="s">
        <v>16</v>
      </c>
      <c r="B5" s="0" t="s">
        <v>106</v>
      </c>
      <c r="C5" s="0" t="s">
        <v>107</v>
      </c>
      <c r="D5" s="0" t="s">
        <v>106</v>
      </c>
      <c r="E5" s="0" t="s">
        <v>107</v>
      </c>
      <c r="F5" s="0" t="s">
        <v>3464</v>
      </c>
      <c r="G5" s="0" t="s">
        <v>92</v>
      </c>
    </row>
    <row customHeight="1" ht="11.25">
      <c r="A6" s="0" t="s">
        <v>16</v>
      </c>
      <c r="B6" s="0" t="s">
        <v>3465</v>
      </c>
      <c r="C6" s="0" t="s">
        <v>3466</v>
      </c>
      <c r="D6" s="0" t="s">
        <v>3465</v>
      </c>
      <c r="E6" s="0" t="s">
        <v>3466</v>
      </c>
      <c r="F6" s="0" t="s">
        <v>3464</v>
      </c>
      <c r="G6" s="0" t="s">
        <v>119</v>
      </c>
    </row>
    <row customHeight="1" ht="11.25">
      <c r="A7" s="0" t="s">
        <v>16</v>
      </c>
      <c r="B7" s="0" t="s">
        <v>3467</v>
      </c>
      <c r="C7" s="0" t="s">
        <v>3468</v>
      </c>
      <c r="D7" s="0" t="s">
        <v>3467</v>
      </c>
      <c r="E7" s="0" t="s">
        <v>3468</v>
      </c>
      <c r="F7" s="0" t="s">
        <v>3464</v>
      </c>
      <c r="G7" s="0" t="s">
        <v>93</v>
      </c>
    </row>
    <row customHeight="1" ht="11.25">
      <c r="A8" s="0" t="s">
        <v>16</v>
      </c>
      <c r="B8" s="0" t="s">
        <v>3469</v>
      </c>
      <c r="C8" s="0" t="s">
        <v>3470</v>
      </c>
      <c r="D8" s="0" t="s">
        <v>3469</v>
      </c>
      <c r="E8" s="0" t="s">
        <v>3470</v>
      </c>
      <c r="F8" s="0" t="s">
        <v>3461</v>
      </c>
      <c r="G8" s="0" t="s">
        <v>94</v>
      </c>
    </row>
    <row customHeight="1" ht="11.25">
      <c r="A9" s="0" t="s">
        <v>16</v>
      </c>
      <c r="B9" s="0" t="s">
        <v>3471</v>
      </c>
      <c r="C9" s="0" t="s">
        <v>3472</v>
      </c>
      <c r="D9" s="0" t="s">
        <v>3471</v>
      </c>
      <c r="E9" s="0" t="s">
        <v>3472</v>
      </c>
      <c r="F9" s="0" t="s">
        <v>3464</v>
      </c>
      <c r="G9" s="0" t="s">
        <v>120</v>
      </c>
    </row>
    <row customHeight="1" ht="11.25">
      <c r="A10" s="0" t="s">
        <v>16</v>
      </c>
      <c r="B10" s="0" t="s">
        <v>3473</v>
      </c>
      <c r="C10" s="0" t="s">
        <v>3474</v>
      </c>
      <c r="D10" s="0" t="s">
        <v>3473</v>
      </c>
      <c r="E10" s="0" t="s">
        <v>3474</v>
      </c>
      <c r="F10" s="0" t="s">
        <v>3461</v>
      </c>
      <c r="G10" s="0" t="s">
        <v>165</v>
      </c>
    </row>
    <row customHeight="1" ht="11.25">
      <c r="A11" s="0" t="s">
        <v>16</v>
      </c>
      <c r="B11" s="0" t="s">
        <v>3475</v>
      </c>
      <c r="C11" s="0" t="s">
        <v>3476</v>
      </c>
      <c r="D11" s="0" t="s">
        <v>3477</v>
      </c>
      <c r="E11" s="0" t="s">
        <v>3478</v>
      </c>
      <c r="F11" s="0" t="s">
        <v>3479</v>
      </c>
      <c r="G11" s="0" t="s">
        <v>166</v>
      </c>
    </row>
    <row customHeight="1" ht="11.25">
      <c r="A12" s="0" t="s">
        <v>16</v>
      </c>
      <c r="B12" s="0" t="s">
        <v>3475</v>
      </c>
      <c r="C12" s="0" t="s">
        <v>3476</v>
      </c>
      <c r="D12" s="0" t="s">
        <v>3475</v>
      </c>
      <c r="E12" s="0" t="s">
        <v>3476</v>
      </c>
      <c r="F12" s="0" t="s">
        <v>3480</v>
      </c>
      <c r="G12" s="0" t="s">
        <v>167</v>
      </c>
    </row>
    <row customHeight="1" ht="11.25">
      <c r="A13" s="0" t="s">
        <v>16</v>
      </c>
      <c r="B13" s="0" t="s">
        <v>3475</v>
      </c>
      <c r="C13" s="0" t="s">
        <v>3476</v>
      </c>
      <c r="D13" s="0" t="s">
        <v>3481</v>
      </c>
      <c r="E13" s="0" t="s">
        <v>3482</v>
      </c>
      <c r="F13" s="0" t="s">
        <v>3479</v>
      </c>
      <c r="G13" s="0" t="s">
        <v>168</v>
      </c>
    </row>
    <row customHeight="1" ht="11.25">
      <c r="A14" s="0" t="s">
        <v>16</v>
      </c>
      <c r="B14" s="0" t="s">
        <v>3475</v>
      </c>
      <c r="C14" s="0" t="s">
        <v>3476</v>
      </c>
      <c r="D14" s="0" t="s">
        <v>3483</v>
      </c>
      <c r="E14" s="0" t="s">
        <v>3484</v>
      </c>
      <c r="F14" s="0" t="s">
        <v>3485</v>
      </c>
      <c r="G14" s="0" t="s">
        <v>169</v>
      </c>
    </row>
    <row customHeight="1" ht="11.25">
      <c r="A15" s="0" t="s">
        <v>16</v>
      </c>
      <c r="B15" s="0" t="s">
        <v>3475</v>
      </c>
      <c r="C15" s="0" t="s">
        <v>3476</v>
      </c>
      <c r="D15" s="0" t="s">
        <v>3486</v>
      </c>
      <c r="E15" s="0" t="s">
        <v>3487</v>
      </c>
      <c r="F15" s="0" t="s">
        <v>3479</v>
      </c>
      <c r="G15" s="0" t="s">
        <v>170</v>
      </c>
    </row>
    <row customHeight="1" ht="11.25">
      <c r="A16" s="0" t="s">
        <v>16</v>
      </c>
      <c r="B16" s="0" t="s">
        <v>3475</v>
      </c>
      <c r="C16" s="0" t="s">
        <v>3476</v>
      </c>
      <c r="D16" s="0" t="s">
        <v>3488</v>
      </c>
      <c r="E16" s="0" t="s">
        <v>3489</v>
      </c>
      <c r="F16" s="0" t="s">
        <v>3479</v>
      </c>
      <c r="G16" s="0" t="s">
        <v>1121</v>
      </c>
    </row>
    <row customHeight="1" ht="11.25">
      <c r="A17" s="0" t="s">
        <v>16</v>
      </c>
      <c r="B17" s="0" t="s">
        <v>3475</v>
      </c>
      <c r="C17" s="0" t="s">
        <v>3476</v>
      </c>
      <c r="D17" s="0" t="s">
        <v>3490</v>
      </c>
      <c r="E17" s="0" t="s">
        <v>3491</v>
      </c>
      <c r="F17" s="0" t="s">
        <v>3479</v>
      </c>
      <c r="G17" s="0" t="s">
        <v>1123</v>
      </c>
    </row>
    <row customHeight="1" ht="11.25">
      <c r="A18" s="0" t="s">
        <v>16</v>
      </c>
      <c r="B18" s="0" t="s">
        <v>3475</v>
      </c>
      <c r="C18" s="0" t="s">
        <v>3476</v>
      </c>
      <c r="D18" s="0" t="s">
        <v>3492</v>
      </c>
      <c r="E18" s="0" t="s">
        <v>3493</v>
      </c>
      <c r="F18" s="0" t="s">
        <v>3479</v>
      </c>
      <c r="G18" s="0" t="s">
        <v>1126</v>
      </c>
    </row>
    <row customHeight="1" ht="11.25">
      <c r="A19" s="0" t="s">
        <v>16</v>
      </c>
      <c r="B19" s="0" t="s">
        <v>3494</v>
      </c>
      <c r="C19" s="0" t="s">
        <v>3495</v>
      </c>
      <c r="D19" s="0" t="s">
        <v>3494</v>
      </c>
      <c r="E19" s="0" t="s">
        <v>3495</v>
      </c>
      <c r="F19" s="0" t="s">
        <v>3461</v>
      </c>
      <c r="G19" s="0" t="s">
        <v>1128</v>
      </c>
    </row>
    <row customHeight="1" ht="11.25">
      <c r="A20" s="0" t="s">
        <v>16</v>
      </c>
      <c r="B20" s="0" t="s">
        <v>3496</v>
      </c>
      <c r="C20" s="0" t="s">
        <v>3497</v>
      </c>
      <c r="D20" s="0" t="s">
        <v>3496</v>
      </c>
      <c r="E20" s="0" t="s">
        <v>3497</v>
      </c>
      <c r="F20" s="0" t="s">
        <v>3461</v>
      </c>
      <c r="G20" s="0" t="s">
        <v>1130</v>
      </c>
    </row>
    <row customHeight="1" ht="11.25">
      <c r="A21" s="0" t="s">
        <v>16</v>
      </c>
      <c r="B21" s="0" t="s">
        <v>3498</v>
      </c>
      <c r="C21" s="0" t="s">
        <v>3499</v>
      </c>
      <c r="D21" s="0" t="s">
        <v>3500</v>
      </c>
      <c r="E21" s="0" t="s">
        <v>3501</v>
      </c>
      <c r="F21" s="0" t="s">
        <v>3479</v>
      </c>
      <c r="G21" s="0" t="s">
        <v>1132</v>
      </c>
    </row>
    <row customHeight="1" ht="11.25">
      <c r="A22" s="0" t="s">
        <v>16</v>
      </c>
      <c r="B22" s="0" t="s">
        <v>3498</v>
      </c>
      <c r="C22" s="0" t="s">
        <v>3499</v>
      </c>
      <c r="D22" s="0" t="s">
        <v>3502</v>
      </c>
      <c r="E22" s="0" t="s">
        <v>3503</v>
      </c>
      <c r="F22" s="0" t="s">
        <v>3504</v>
      </c>
      <c r="G22" s="0" t="s">
        <v>1134</v>
      </c>
    </row>
    <row customHeight="1" ht="11.25">
      <c r="A23" s="0" t="s">
        <v>16</v>
      </c>
      <c r="B23" s="0" t="s">
        <v>3498</v>
      </c>
      <c r="C23" s="0" t="s">
        <v>3499</v>
      </c>
      <c r="D23" s="0" t="s">
        <v>3498</v>
      </c>
      <c r="E23" s="0" t="s">
        <v>3499</v>
      </c>
      <c r="F23" s="0" t="s">
        <v>3480</v>
      </c>
      <c r="G23" s="0" t="s">
        <v>1080</v>
      </c>
    </row>
    <row customHeight="1" ht="11.25">
      <c r="A24" s="0" t="s">
        <v>16</v>
      </c>
      <c r="B24" s="0" t="s">
        <v>3498</v>
      </c>
      <c r="C24" s="0" t="s">
        <v>3499</v>
      </c>
      <c r="D24" s="0" t="s">
        <v>3505</v>
      </c>
      <c r="E24" s="0" t="s">
        <v>3506</v>
      </c>
      <c r="F24" s="0" t="s">
        <v>3504</v>
      </c>
      <c r="G24" s="0" t="s">
        <v>1110</v>
      </c>
    </row>
    <row customHeight="1" ht="11.25">
      <c r="A25" s="0" t="s">
        <v>16</v>
      </c>
      <c r="B25" s="0" t="s">
        <v>3498</v>
      </c>
      <c r="C25" s="0" t="s">
        <v>3499</v>
      </c>
      <c r="D25" s="0" t="s">
        <v>3507</v>
      </c>
      <c r="E25" s="0" t="s">
        <v>3508</v>
      </c>
      <c r="F25" s="0" t="s">
        <v>3479</v>
      </c>
      <c r="G25" s="0" t="s">
        <v>1114</v>
      </c>
    </row>
    <row customHeight="1" ht="11.25">
      <c r="A26" s="0" t="s">
        <v>16</v>
      </c>
      <c r="B26" s="0" t="s">
        <v>3498</v>
      </c>
      <c r="C26" s="0" t="s">
        <v>3499</v>
      </c>
      <c r="D26" s="0" t="s">
        <v>3509</v>
      </c>
      <c r="E26" s="0" t="s">
        <v>3510</v>
      </c>
      <c r="F26" s="0" t="s">
        <v>3485</v>
      </c>
      <c r="G26" s="0" t="s">
        <v>1140</v>
      </c>
    </row>
    <row customHeight="1" ht="11.25">
      <c r="A27" s="0" t="s">
        <v>16</v>
      </c>
      <c r="B27" s="0" t="s">
        <v>3498</v>
      </c>
      <c r="C27" s="0" t="s">
        <v>3499</v>
      </c>
      <c r="D27" s="0" t="s">
        <v>3511</v>
      </c>
      <c r="E27" s="0" t="s">
        <v>3512</v>
      </c>
      <c r="F27" s="0" t="s">
        <v>3479</v>
      </c>
      <c r="G27" s="0" t="s">
        <v>1142</v>
      </c>
    </row>
    <row customHeight="1" ht="11.25">
      <c r="A28" s="0" t="s">
        <v>16</v>
      </c>
      <c r="B28" s="0" t="s">
        <v>3498</v>
      </c>
      <c r="C28" s="0" t="s">
        <v>3499</v>
      </c>
      <c r="D28" s="0" t="s">
        <v>3513</v>
      </c>
      <c r="E28" s="0" t="s">
        <v>3514</v>
      </c>
      <c r="F28" s="0" t="s">
        <v>3479</v>
      </c>
      <c r="G28" s="0" t="s">
        <v>1146</v>
      </c>
    </row>
    <row customHeight="1" ht="11.25">
      <c r="A29" s="0" t="s">
        <v>16</v>
      </c>
      <c r="B29" s="0" t="s">
        <v>3515</v>
      </c>
      <c r="C29" s="0" t="s">
        <v>3516</v>
      </c>
      <c r="D29" s="0" t="s">
        <v>3515</v>
      </c>
      <c r="E29" s="0" t="s">
        <v>3516</v>
      </c>
      <c r="F29" s="0" t="s">
        <v>3461</v>
      </c>
      <c r="G29" s="0" t="s">
        <v>1149</v>
      </c>
    </row>
    <row customHeight="1" ht="11.25">
      <c r="A30" s="0" t="s">
        <v>16</v>
      </c>
      <c r="B30" s="0" t="s">
        <v>3517</v>
      </c>
      <c r="C30" s="0" t="s">
        <v>3518</v>
      </c>
      <c r="D30" s="0" t="s">
        <v>3519</v>
      </c>
      <c r="E30" s="0" t="s">
        <v>3520</v>
      </c>
      <c r="F30" s="0" t="s">
        <v>3504</v>
      </c>
      <c r="G30" s="0" t="s">
        <v>1103</v>
      </c>
    </row>
    <row customHeight="1" ht="11.25">
      <c r="A31" s="0" t="s">
        <v>16</v>
      </c>
      <c r="B31" s="0" t="s">
        <v>3517</v>
      </c>
      <c r="C31" s="0" t="s">
        <v>3518</v>
      </c>
      <c r="D31" s="0" t="s">
        <v>3521</v>
      </c>
      <c r="E31" s="0" t="s">
        <v>3522</v>
      </c>
      <c r="F31" s="0" t="s">
        <v>3479</v>
      </c>
      <c r="G31" s="0" t="s">
        <v>1152</v>
      </c>
    </row>
    <row customHeight="1" ht="11.25">
      <c r="A32" s="0" t="s">
        <v>16</v>
      </c>
      <c r="B32" s="0" t="s">
        <v>3517</v>
      </c>
      <c r="C32" s="0" t="s">
        <v>3518</v>
      </c>
      <c r="D32" s="0" t="s">
        <v>3523</v>
      </c>
      <c r="E32" s="0" t="s">
        <v>3524</v>
      </c>
      <c r="F32" s="0" t="s">
        <v>3479</v>
      </c>
      <c r="G32" s="0" t="s">
        <v>1154</v>
      </c>
    </row>
    <row customHeight="1" ht="11.25">
      <c r="A33" s="0" t="s">
        <v>16</v>
      </c>
      <c r="B33" s="0" t="s">
        <v>3517</v>
      </c>
      <c r="C33" s="0" t="s">
        <v>3518</v>
      </c>
      <c r="D33" s="0" t="s">
        <v>3525</v>
      </c>
      <c r="E33" s="0" t="s">
        <v>3526</v>
      </c>
      <c r="F33" s="0" t="s">
        <v>3479</v>
      </c>
      <c r="G33" s="0" t="s">
        <v>1156</v>
      </c>
    </row>
    <row customHeight="1" ht="11.25">
      <c r="A34" s="0" t="s">
        <v>16</v>
      </c>
      <c r="B34" s="0" t="s">
        <v>3517</v>
      </c>
      <c r="C34" s="0" t="s">
        <v>3518</v>
      </c>
      <c r="D34" s="0" t="s">
        <v>3527</v>
      </c>
      <c r="E34" s="0" t="s">
        <v>3528</v>
      </c>
      <c r="F34" s="0" t="s">
        <v>3479</v>
      </c>
      <c r="G34" s="0" t="s">
        <v>1159</v>
      </c>
    </row>
    <row customHeight="1" ht="11.25">
      <c r="A35" s="0" t="s">
        <v>16</v>
      </c>
      <c r="B35" s="0" t="s">
        <v>3517</v>
      </c>
      <c r="C35" s="0" t="s">
        <v>3518</v>
      </c>
      <c r="D35" s="0" t="s">
        <v>3517</v>
      </c>
      <c r="E35" s="0" t="s">
        <v>3518</v>
      </c>
      <c r="F35" s="0" t="s">
        <v>3480</v>
      </c>
      <c r="G35" s="0" t="s">
        <v>1161</v>
      </c>
    </row>
    <row customHeight="1" ht="11.25">
      <c r="A36" s="0" t="s">
        <v>16</v>
      </c>
      <c r="B36" s="0" t="s">
        <v>3517</v>
      </c>
      <c r="C36" s="0" t="s">
        <v>3518</v>
      </c>
      <c r="D36" s="0" t="s">
        <v>3529</v>
      </c>
      <c r="E36" s="0" t="s">
        <v>3530</v>
      </c>
      <c r="F36" s="0" t="s">
        <v>3479</v>
      </c>
      <c r="G36" s="0" t="s">
        <v>1166</v>
      </c>
    </row>
    <row customHeight="1" ht="11.25">
      <c r="A37" s="0" t="s">
        <v>16</v>
      </c>
      <c r="B37" s="0" t="s">
        <v>3517</v>
      </c>
      <c r="C37" s="0" t="s">
        <v>3518</v>
      </c>
      <c r="D37" s="0" t="s">
        <v>3531</v>
      </c>
      <c r="E37" s="0" t="s">
        <v>3532</v>
      </c>
      <c r="F37" s="0" t="s">
        <v>3479</v>
      </c>
      <c r="G37" s="0" t="s">
        <v>1170</v>
      </c>
    </row>
    <row customHeight="1" ht="11.25">
      <c r="A38" s="0" t="s">
        <v>16</v>
      </c>
      <c r="B38" s="0" t="s">
        <v>3517</v>
      </c>
      <c r="C38" s="0" t="s">
        <v>3518</v>
      </c>
      <c r="D38" s="0" t="s">
        <v>3533</v>
      </c>
      <c r="E38" s="0" t="s">
        <v>3534</v>
      </c>
      <c r="F38" s="0" t="s">
        <v>3479</v>
      </c>
      <c r="G38" s="0" t="s">
        <v>1172</v>
      </c>
    </row>
    <row customHeight="1" ht="11.25">
      <c r="A39" s="0" t="s">
        <v>16</v>
      </c>
      <c r="B39" s="0" t="s">
        <v>3517</v>
      </c>
      <c r="C39" s="0" t="s">
        <v>3518</v>
      </c>
      <c r="D39" s="0" t="s">
        <v>3535</v>
      </c>
      <c r="E39" s="0" t="s">
        <v>3536</v>
      </c>
      <c r="F39" s="0" t="s">
        <v>3479</v>
      </c>
      <c r="G39" s="0" t="s">
        <v>1175</v>
      </c>
    </row>
    <row customHeight="1" ht="11.25">
      <c r="A40" s="0" t="s">
        <v>16</v>
      </c>
      <c r="B40" s="0" t="s">
        <v>3517</v>
      </c>
      <c r="C40" s="0" t="s">
        <v>3518</v>
      </c>
      <c r="D40" s="0" t="s">
        <v>3537</v>
      </c>
      <c r="E40" s="0" t="s">
        <v>3538</v>
      </c>
      <c r="F40" s="0" t="s">
        <v>3479</v>
      </c>
      <c r="G40" s="0" t="s">
        <v>1178</v>
      </c>
    </row>
    <row customHeight="1" ht="11.25">
      <c r="A41" s="0" t="s">
        <v>16</v>
      </c>
      <c r="B41" s="0" t="s">
        <v>3539</v>
      </c>
      <c r="C41" s="0" t="s">
        <v>3540</v>
      </c>
      <c r="D41" s="0" t="s">
        <v>3539</v>
      </c>
      <c r="E41" s="0" t="s">
        <v>3540</v>
      </c>
      <c r="F41" s="0" t="s">
        <v>3461</v>
      </c>
      <c r="G41" s="0" t="s">
        <v>1180</v>
      </c>
    </row>
    <row customHeight="1" ht="11.25">
      <c r="A42" s="0" t="s">
        <v>16</v>
      </c>
      <c r="B42" s="0" t="s">
        <v>3541</v>
      </c>
      <c r="C42" s="0" t="s">
        <v>3542</v>
      </c>
      <c r="D42" s="0" t="s">
        <v>3541</v>
      </c>
      <c r="E42" s="0" t="s">
        <v>3542</v>
      </c>
      <c r="F42" s="0" t="s">
        <v>3464</v>
      </c>
      <c r="G42" s="0" t="s">
        <v>1182</v>
      </c>
    </row>
    <row customHeight="1" ht="11.25">
      <c r="A43" s="0" t="s">
        <v>16</v>
      </c>
      <c r="B43" s="0" t="s">
        <v>3543</v>
      </c>
      <c r="C43" s="0" t="s">
        <v>3544</v>
      </c>
      <c r="D43" s="0" t="s">
        <v>3543</v>
      </c>
      <c r="E43" s="0" t="s">
        <v>3544</v>
      </c>
      <c r="F43" s="0" t="s">
        <v>3461</v>
      </c>
      <c r="G43" s="0" t="s">
        <v>1184</v>
      </c>
    </row>
    <row customHeight="1" ht="11.25">
      <c r="A44" s="0" t="s">
        <v>16</v>
      </c>
      <c r="B44" s="0" t="s">
        <v>3545</v>
      </c>
      <c r="C44" s="0" t="s">
        <v>3546</v>
      </c>
      <c r="D44" s="0" t="s">
        <v>3545</v>
      </c>
      <c r="E44" s="0" t="s">
        <v>3546</v>
      </c>
      <c r="F44" s="0" t="s">
        <v>3461</v>
      </c>
      <c r="G44" s="0" t="s">
        <v>1186</v>
      </c>
    </row>
    <row customHeight="1" ht="11.25">
      <c r="A45" s="0" t="s">
        <v>16</v>
      </c>
      <c r="B45" s="0" t="s">
        <v>3547</v>
      </c>
      <c r="C45" s="0" t="s">
        <v>3548</v>
      </c>
      <c r="D45" s="0" t="s">
        <v>3549</v>
      </c>
      <c r="E45" s="0" t="s">
        <v>3550</v>
      </c>
      <c r="F45" s="0" t="s">
        <v>3479</v>
      </c>
      <c r="G45" s="0" t="s">
        <v>1188</v>
      </c>
    </row>
    <row customHeight="1" ht="11.25">
      <c r="A46" s="0" t="s">
        <v>16</v>
      </c>
      <c r="B46" s="0" t="s">
        <v>3547</v>
      </c>
      <c r="C46" s="0" t="s">
        <v>3548</v>
      </c>
      <c r="D46" s="0" t="s">
        <v>3551</v>
      </c>
      <c r="E46" s="0" t="s">
        <v>3552</v>
      </c>
      <c r="F46" s="0" t="s">
        <v>3479</v>
      </c>
      <c r="G46" s="0" t="s">
        <v>1190</v>
      </c>
    </row>
    <row customHeight="1" ht="11.25">
      <c r="A47" s="0" t="s">
        <v>16</v>
      </c>
      <c r="B47" s="0" t="s">
        <v>3547</v>
      </c>
      <c r="C47" s="0" t="s">
        <v>3548</v>
      </c>
      <c r="D47" s="0" t="s">
        <v>3553</v>
      </c>
      <c r="E47" s="0" t="s">
        <v>3554</v>
      </c>
      <c r="F47" s="0" t="s">
        <v>3479</v>
      </c>
      <c r="G47" s="0" t="s">
        <v>1192</v>
      </c>
    </row>
    <row customHeight="1" ht="11.25">
      <c r="A48" s="0" t="s">
        <v>16</v>
      </c>
      <c r="B48" s="0" t="s">
        <v>3547</v>
      </c>
      <c r="C48" s="0" t="s">
        <v>3548</v>
      </c>
      <c r="D48" s="0" t="s">
        <v>3547</v>
      </c>
      <c r="E48" s="0" t="s">
        <v>3548</v>
      </c>
      <c r="F48" s="0" t="s">
        <v>3480</v>
      </c>
      <c r="G48" s="0" t="s">
        <v>1099</v>
      </c>
    </row>
    <row customHeight="1" ht="11.25">
      <c r="A49" s="0" t="s">
        <v>16</v>
      </c>
      <c r="B49" s="0" t="s">
        <v>3547</v>
      </c>
      <c r="C49" s="0" t="s">
        <v>3548</v>
      </c>
      <c r="D49" s="0" t="s">
        <v>3555</v>
      </c>
      <c r="E49" s="0" t="s">
        <v>3556</v>
      </c>
      <c r="F49" s="0" t="s">
        <v>3479</v>
      </c>
      <c r="G49" s="0" t="s">
        <v>1196</v>
      </c>
    </row>
    <row customHeight="1" ht="11.25">
      <c r="A50" s="0" t="s">
        <v>16</v>
      </c>
      <c r="B50" s="0" t="s">
        <v>3547</v>
      </c>
      <c r="C50" s="0" t="s">
        <v>3548</v>
      </c>
      <c r="D50" s="0" t="s">
        <v>3557</v>
      </c>
      <c r="E50" s="0" t="s">
        <v>3558</v>
      </c>
      <c r="F50" s="0" t="s">
        <v>3504</v>
      </c>
      <c r="G50" s="0" t="s">
        <v>1198</v>
      </c>
    </row>
    <row customHeight="1" ht="11.25">
      <c r="A51" s="0" t="s">
        <v>16</v>
      </c>
      <c r="B51" s="0" t="s">
        <v>3547</v>
      </c>
      <c r="C51" s="0" t="s">
        <v>3548</v>
      </c>
      <c r="D51" s="0" t="s">
        <v>3559</v>
      </c>
      <c r="E51" s="0" t="s">
        <v>3560</v>
      </c>
      <c r="F51" s="0" t="s">
        <v>3479</v>
      </c>
      <c r="G51" s="0" t="s">
        <v>1200</v>
      </c>
    </row>
    <row customHeight="1" ht="11.25">
      <c r="A52" s="0" t="s">
        <v>16</v>
      </c>
      <c r="B52" s="0" t="s">
        <v>3547</v>
      </c>
      <c r="C52" s="0" t="s">
        <v>3548</v>
      </c>
      <c r="D52" s="0" t="s">
        <v>3561</v>
      </c>
      <c r="E52" s="0" t="s">
        <v>3562</v>
      </c>
      <c r="F52" s="0" t="s">
        <v>3479</v>
      </c>
      <c r="G52" s="0" t="s">
        <v>1202</v>
      </c>
    </row>
    <row customHeight="1" ht="11.25">
      <c r="A53" s="0" t="s">
        <v>16</v>
      </c>
      <c r="B53" s="0" t="s">
        <v>3563</v>
      </c>
      <c r="C53" s="0" t="s">
        <v>3564</v>
      </c>
      <c r="D53" s="0" t="s">
        <v>3563</v>
      </c>
      <c r="E53" s="0" t="s">
        <v>3564</v>
      </c>
      <c r="F53" s="0" t="s">
        <v>3461</v>
      </c>
      <c r="G53" s="0" t="s">
        <v>1204</v>
      </c>
    </row>
    <row customHeight="1" ht="11.25">
      <c r="A54" s="0" t="s">
        <v>16</v>
      </c>
      <c r="B54" s="0" t="s">
        <v>3565</v>
      </c>
      <c r="C54" s="0" t="s">
        <v>3566</v>
      </c>
      <c r="D54" s="0" t="s">
        <v>3565</v>
      </c>
      <c r="E54" s="0" t="s">
        <v>3566</v>
      </c>
      <c r="F54" s="0" t="s">
        <v>3480</v>
      </c>
      <c r="G54" s="0" t="s">
        <v>1206</v>
      </c>
    </row>
    <row customHeight="1" ht="11.25">
      <c r="A55" s="0" t="s">
        <v>16</v>
      </c>
      <c r="B55" s="0" t="s">
        <v>3565</v>
      </c>
      <c r="C55" s="0" t="s">
        <v>3566</v>
      </c>
      <c r="D55" s="0" t="s">
        <v>3567</v>
      </c>
      <c r="E55" s="0" t="s">
        <v>3568</v>
      </c>
      <c r="F55" s="0" t="s">
        <v>3479</v>
      </c>
      <c r="G55" s="0" t="s">
        <v>1209</v>
      </c>
    </row>
    <row customHeight="1" ht="11.25">
      <c r="A56" s="0" t="s">
        <v>16</v>
      </c>
      <c r="B56" s="0" t="s">
        <v>3565</v>
      </c>
      <c r="C56" s="0" t="s">
        <v>3566</v>
      </c>
      <c r="D56" s="0" t="s">
        <v>3569</v>
      </c>
      <c r="E56" s="0" t="s">
        <v>3570</v>
      </c>
      <c r="F56" s="0" t="s">
        <v>3479</v>
      </c>
      <c r="G56" s="0" t="s">
        <v>1211</v>
      </c>
    </row>
    <row customHeight="1" ht="11.25">
      <c r="A57" s="0" t="s">
        <v>16</v>
      </c>
      <c r="B57" s="0" t="s">
        <v>3565</v>
      </c>
      <c r="C57" s="0" t="s">
        <v>3566</v>
      </c>
      <c r="D57" s="0" t="s">
        <v>3571</v>
      </c>
      <c r="E57" s="0" t="s">
        <v>3572</v>
      </c>
      <c r="F57" s="0" t="s">
        <v>3479</v>
      </c>
      <c r="G57" s="0" t="s">
        <v>1213</v>
      </c>
    </row>
    <row customHeight="1" ht="11.25">
      <c r="A58" s="0" t="s">
        <v>16</v>
      </c>
      <c r="B58" s="0" t="s">
        <v>3573</v>
      </c>
      <c r="C58" s="0" t="s">
        <v>3574</v>
      </c>
      <c r="D58" s="0" t="s">
        <v>3573</v>
      </c>
      <c r="E58" s="0" t="s">
        <v>3574</v>
      </c>
      <c r="F58" s="0" t="s">
        <v>3464</v>
      </c>
      <c r="G58" s="0" t="s">
        <v>1216</v>
      </c>
    </row>
    <row customHeight="1" ht="11.25">
      <c r="A59" s="0" t="s">
        <v>16</v>
      </c>
      <c r="B59" s="0" t="s">
        <v>3575</v>
      </c>
      <c r="C59" s="0" t="s">
        <v>3576</v>
      </c>
      <c r="D59" s="0" t="s">
        <v>3575</v>
      </c>
      <c r="E59" s="0" t="s">
        <v>3576</v>
      </c>
      <c r="F59" s="0" t="s">
        <v>3461</v>
      </c>
      <c r="G59" s="0" t="s">
        <v>1218</v>
      </c>
    </row>
    <row customHeight="1" ht="11.25">
      <c r="A60" s="0" t="s">
        <v>16</v>
      </c>
      <c r="B60" s="0" t="s">
        <v>3577</v>
      </c>
      <c r="C60" s="0" t="s">
        <v>3578</v>
      </c>
      <c r="D60" s="0" t="s">
        <v>3577</v>
      </c>
      <c r="E60" s="0" t="s">
        <v>3578</v>
      </c>
      <c r="F60" s="0" t="s">
        <v>3461</v>
      </c>
      <c r="G60" s="0" t="s">
        <v>1220</v>
      </c>
    </row>
    <row customHeight="1" ht="11.25">
      <c r="A61" s="0" t="s">
        <v>16</v>
      </c>
      <c r="B61" s="0" t="s">
        <v>110</v>
      </c>
      <c r="C61" s="0" t="s">
        <v>111</v>
      </c>
      <c r="D61" s="0" t="s">
        <v>110</v>
      </c>
      <c r="E61" s="0" t="s">
        <v>111</v>
      </c>
      <c r="F61" s="0" t="s">
        <v>3464</v>
      </c>
      <c r="G61" s="0" t="s">
        <v>109</v>
      </c>
    </row>
    <row customHeight="1" ht="11.25">
      <c r="A62" s="0" t="s">
        <v>16</v>
      </c>
      <c r="B62" s="0" t="s">
        <v>3579</v>
      </c>
      <c r="C62" s="0" t="s">
        <v>3580</v>
      </c>
      <c r="D62" s="0" t="s">
        <v>3579</v>
      </c>
      <c r="E62" s="0" t="s">
        <v>3580</v>
      </c>
      <c r="F62" s="0" t="s">
        <v>3461</v>
      </c>
      <c r="G62" s="0" t="s">
        <v>1223</v>
      </c>
    </row>
    <row customHeight="1" ht="11.25">
      <c r="A63" s="0" t="s">
        <v>16</v>
      </c>
      <c r="B63" s="0" t="s">
        <v>3581</v>
      </c>
      <c r="C63" s="0" t="s">
        <v>3582</v>
      </c>
      <c r="D63" s="0" t="s">
        <v>3583</v>
      </c>
      <c r="E63" s="0" t="s">
        <v>3584</v>
      </c>
      <c r="F63" s="0" t="s">
        <v>3479</v>
      </c>
      <c r="G63" s="0" t="s">
        <v>1225</v>
      </c>
    </row>
    <row customHeight="1" ht="11.25">
      <c r="A64" s="0" t="s">
        <v>16</v>
      </c>
      <c r="B64" s="0" t="s">
        <v>3581</v>
      </c>
      <c r="C64" s="0" t="s">
        <v>3582</v>
      </c>
      <c r="D64" s="0" t="s">
        <v>3585</v>
      </c>
      <c r="E64" s="0" t="s">
        <v>3586</v>
      </c>
      <c r="F64" s="0" t="s">
        <v>3479</v>
      </c>
      <c r="G64" s="0" t="s">
        <v>1227</v>
      </c>
    </row>
    <row customHeight="1" ht="11.25">
      <c r="A65" s="0" t="s">
        <v>16</v>
      </c>
      <c r="B65" s="0" t="s">
        <v>3581</v>
      </c>
      <c r="C65" s="0" t="s">
        <v>3582</v>
      </c>
      <c r="D65" s="0" t="s">
        <v>3587</v>
      </c>
      <c r="E65" s="0" t="s">
        <v>3588</v>
      </c>
      <c r="F65" s="0" t="s">
        <v>3479</v>
      </c>
      <c r="G65" s="0" t="s">
        <v>1229</v>
      </c>
    </row>
    <row customHeight="1" ht="11.25">
      <c r="A66" s="0" t="s">
        <v>16</v>
      </c>
      <c r="B66" s="0" t="s">
        <v>3581</v>
      </c>
      <c r="C66" s="0" t="s">
        <v>3582</v>
      </c>
      <c r="D66" s="0" t="s">
        <v>3589</v>
      </c>
      <c r="E66" s="0" t="s">
        <v>3590</v>
      </c>
      <c r="F66" s="0" t="s">
        <v>3485</v>
      </c>
      <c r="G66" s="0" t="s">
        <v>1231</v>
      </c>
    </row>
    <row customHeight="1" ht="11.25">
      <c r="A67" s="0" t="s">
        <v>16</v>
      </c>
      <c r="B67" s="0" t="s">
        <v>3581</v>
      </c>
      <c r="C67" s="0" t="s">
        <v>3582</v>
      </c>
      <c r="D67" s="0" t="s">
        <v>3591</v>
      </c>
      <c r="E67" s="0" t="s">
        <v>3592</v>
      </c>
      <c r="F67" s="0" t="s">
        <v>3479</v>
      </c>
      <c r="G67" s="0" t="s">
        <v>1233</v>
      </c>
    </row>
    <row customHeight="1" ht="11.25">
      <c r="A68" s="0" t="s">
        <v>16</v>
      </c>
      <c r="B68" s="0" t="s">
        <v>3581</v>
      </c>
      <c r="C68" s="0" t="s">
        <v>3582</v>
      </c>
      <c r="D68" s="0" t="s">
        <v>3593</v>
      </c>
      <c r="E68" s="0" t="s">
        <v>3594</v>
      </c>
      <c r="F68" s="0" t="s">
        <v>3479</v>
      </c>
      <c r="G68" s="0" t="s">
        <v>1236</v>
      </c>
    </row>
    <row customHeight="1" ht="11.25">
      <c r="A69" s="0" t="s">
        <v>16</v>
      </c>
      <c r="B69" s="0" t="s">
        <v>3581</v>
      </c>
      <c r="C69" s="0" t="s">
        <v>3582</v>
      </c>
      <c r="D69" s="0" t="s">
        <v>3581</v>
      </c>
      <c r="E69" s="0" t="s">
        <v>3582</v>
      </c>
      <c r="F69" s="0" t="s">
        <v>3480</v>
      </c>
      <c r="G69" s="0" t="s">
        <v>1238</v>
      </c>
    </row>
    <row customHeight="1" ht="11.25">
      <c r="A70" s="0" t="s">
        <v>16</v>
      </c>
      <c r="B70" s="0" t="s">
        <v>3581</v>
      </c>
      <c r="C70" s="0" t="s">
        <v>3582</v>
      </c>
      <c r="D70" s="0" t="s">
        <v>3595</v>
      </c>
      <c r="E70" s="0" t="s">
        <v>3596</v>
      </c>
      <c r="F70" s="0" t="s">
        <v>3479</v>
      </c>
      <c r="G70" s="0" t="s">
        <v>1240</v>
      </c>
    </row>
    <row customHeight="1" ht="11.25">
      <c r="A71" s="0" t="s">
        <v>16</v>
      </c>
      <c r="B71" s="0" t="s">
        <v>3597</v>
      </c>
      <c r="C71" s="0" t="s">
        <v>3598</v>
      </c>
      <c r="D71" s="0" t="s">
        <v>3597</v>
      </c>
      <c r="E71" s="0" t="s">
        <v>3598</v>
      </c>
      <c r="F71" s="0" t="s">
        <v>3461</v>
      </c>
      <c r="G71" s="0" t="s">
        <v>1242</v>
      </c>
    </row>
    <row customHeight="1" ht="11.25">
      <c r="A72" s="0" t="s">
        <v>16</v>
      </c>
      <c r="B72" s="0" t="s">
        <v>3599</v>
      </c>
      <c r="C72" s="0" t="s">
        <v>3600</v>
      </c>
      <c r="D72" s="0" t="s">
        <v>3599</v>
      </c>
      <c r="E72" s="0" t="s">
        <v>3600</v>
      </c>
      <c r="F72" s="0" t="s">
        <v>3461</v>
      </c>
      <c r="G72" s="0" t="s">
        <v>1244</v>
      </c>
    </row>
    <row customHeight="1" ht="11.25">
      <c r="A73" s="0" t="s">
        <v>16</v>
      </c>
      <c r="B73" s="0" t="s">
        <v>3601</v>
      </c>
      <c r="C73" s="0" t="s">
        <v>3602</v>
      </c>
      <c r="D73" s="0" t="s">
        <v>3603</v>
      </c>
      <c r="E73" s="0" t="s">
        <v>3604</v>
      </c>
      <c r="F73" s="0" t="s">
        <v>3479</v>
      </c>
      <c r="G73" s="0" t="s">
        <v>1246</v>
      </c>
    </row>
    <row customHeight="1" ht="11.25">
      <c r="A74" s="0" t="s">
        <v>16</v>
      </c>
      <c r="B74" s="0" t="s">
        <v>3601</v>
      </c>
      <c r="C74" s="0" t="s">
        <v>3602</v>
      </c>
      <c r="D74" s="0" t="s">
        <v>3605</v>
      </c>
      <c r="E74" s="0" t="s">
        <v>3606</v>
      </c>
      <c r="F74" s="0" t="s">
        <v>3479</v>
      </c>
      <c r="G74" s="0" t="s">
        <v>1248</v>
      </c>
    </row>
    <row customHeight="1" ht="11.25">
      <c r="A75" s="0" t="s">
        <v>16</v>
      </c>
      <c r="B75" s="0" t="s">
        <v>3601</v>
      </c>
      <c r="C75" s="0" t="s">
        <v>3602</v>
      </c>
      <c r="D75" s="0" t="s">
        <v>3607</v>
      </c>
      <c r="E75" s="0" t="s">
        <v>3608</v>
      </c>
      <c r="F75" s="0" t="s">
        <v>3479</v>
      </c>
      <c r="G75" s="0" t="s">
        <v>1250</v>
      </c>
    </row>
    <row customHeight="1" ht="11.25">
      <c r="A76" s="0" t="s">
        <v>16</v>
      </c>
      <c r="B76" s="0" t="s">
        <v>3601</v>
      </c>
      <c r="C76" s="0" t="s">
        <v>3602</v>
      </c>
      <c r="D76" s="0" t="s">
        <v>3609</v>
      </c>
      <c r="E76" s="0" t="s">
        <v>3610</v>
      </c>
      <c r="F76" s="0" t="s">
        <v>3479</v>
      </c>
      <c r="G76" s="0" t="s">
        <v>1252</v>
      </c>
    </row>
    <row customHeight="1" ht="11.25">
      <c r="A77" s="0" t="s">
        <v>16</v>
      </c>
      <c r="B77" s="0" t="s">
        <v>3601</v>
      </c>
      <c r="C77" s="0" t="s">
        <v>3602</v>
      </c>
      <c r="D77" s="0" t="s">
        <v>3611</v>
      </c>
      <c r="E77" s="0" t="s">
        <v>3612</v>
      </c>
      <c r="F77" s="0" t="s">
        <v>3479</v>
      </c>
      <c r="G77" s="0" t="s">
        <v>1254</v>
      </c>
    </row>
    <row customHeight="1" ht="11.25">
      <c r="A78" s="0" t="s">
        <v>16</v>
      </c>
      <c r="B78" s="0" t="s">
        <v>3601</v>
      </c>
      <c r="C78" s="0" t="s">
        <v>3602</v>
      </c>
      <c r="D78" s="0" t="s">
        <v>3601</v>
      </c>
      <c r="E78" s="0" t="s">
        <v>3602</v>
      </c>
      <c r="F78" s="0" t="s">
        <v>3480</v>
      </c>
      <c r="G78" s="0" t="s">
        <v>1260</v>
      </c>
    </row>
    <row customHeight="1" ht="11.25">
      <c r="A79" s="0" t="s">
        <v>16</v>
      </c>
      <c r="B79" s="0" t="s">
        <v>3601</v>
      </c>
      <c r="C79" s="0" t="s">
        <v>3602</v>
      </c>
      <c r="D79" s="0" t="s">
        <v>3613</v>
      </c>
      <c r="E79" s="0" t="s">
        <v>3614</v>
      </c>
      <c r="F79" s="0" t="s">
        <v>3479</v>
      </c>
      <c r="G79" s="0" t="s">
        <v>1262</v>
      </c>
    </row>
    <row customHeight="1" ht="11.25">
      <c r="A80" s="0" t="s">
        <v>16</v>
      </c>
      <c r="B80" s="0" t="s">
        <v>3601</v>
      </c>
      <c r="C80" s="0" t="s">
        <v>3602</v>
      </c>
      <c r="D80" s="0" t="s">
        <v>3615</v>
      </c>
      <c r="E80" s="0" t="s">
        <v>3616</v>
      </c>
      <c r="F80" s="0" t="s">
        <v>3479</v>
      </c>
      <c r="G80" s="0" t="s">
        <v>1264</v>
      </c>
    </row>
    <row customHeight="1" ht="11.25">
      <c r="A81" s="0" t="s">
        <v>16</v>
      </c>
      <c r="B81" s="0" t="s">
        <v>3601</v>
      </c>
      <c r="C81" s="0" t="s">
        <v>3602</v>
      </c>
      <c r="D81" s="0" t="s">
        <v>3617</v>
      </c>
      <c r="E81" s="0" t="s">
        <v>3618</v>
      </c>
      <c r="F81" s="0" t="s">
        <v>3479</v>
      </c>
      <c r="G81" s="0" t="s">
        <v>1266</v>
      </c>
    </row>
    <row customHeight="1" ht="11.25">
      <c r="A82" s="0" t="s">
        <v>16</v>
      </c>
      <c r="B82" s="0" t="s">
        <v>3619</v>
      </c>
      <c r="C82" s="0" t="s">
        <v>3620</v>
      </c>
      <c r="D82" s="0" t="s">
        <v>3619</v>
      </c>
      <c r="E82" s="0" t="s">
        <v>3620</v>
      </c>
      <c r="F82" s="0" t="s">
        <v>3461</v>
      </c>
      <c r="G82" s="0" t="s">
        <v>1268</v>
      </c>
    </row>
    <row customHeight="1" ht="11.25">
      <c r="A83" s="0" t="s">
        <v>16</v>
      </c>
      <c r="B83" s="0" t="s">
        <v>3621</v>
      </c>
      <c r="C83" s="0" t="s">
        <v>3622</v>
      </c>
      <c r="D83" s="0" t="s">
        <v>3621</v>
      </c>
      <c r="E83" s="0" t="s">
        <v>3622</v>
      </c>
      <c r="F83" s="0" t="s">
        <v>3464</v>
      </c>
      <c r="G83" s="0" t="s">
        <v>1271</v>
      </c>
    </row>
    <row customHeight="1" ht="11.25">
      <c r="A84" s="0" t="s">
        <v>16</v>
      </c>
      <c r="B84" s="0" t="s">
        <v>3623</v>
      </c>
      <c r="C84" s="0" t="s">
        <v>3624</v>
      </c>
      <c r="D84" s="0" t="s">
        <v>3623</v>
      </c>
      <c r="E84" s="0" t="s">
        <v>3624</v>
      </c>
      <c r="F84" s="0" t="s">
        <v>3461</v>
      </c>
      <c r="G84" s="0" t="s">
        <v>1273</v>
      </c>
    </row>
    <row customHeight="1" ht="11.25">
      <c r="A85" s="0" t="s">
        <v>16</v>
      </c>
      <c r="B85" s="0" t="s">
        <v>3625</v>
      </c>
      <c r="C85" s="0" t="s">
        <v>3626</v>
      </c>
      <c r="D85" s="0" t="s">
        <v>3625</v>
      </c>
      <c r="E85" s="0" t="s">
        <v>3626</v>
      </c>
      <c r="F85" s="0" t="s">
        <v>3461</v>
      </c>
      <c r="G85" s="0" t="s">
        <v>1275</v>
      </c>
    </row>
    <row customHeight="1" ht="11.25">
      <c r="A86" s="0" t="s">
        <v>16</v>
      </c>
      <c r="B86" s="0" t="s">
        <v>3627</v>
      </c>
      <c r="C86" s="0" t="s">
        <v>3628</v>
      </c>
      <c r="D86" s="0" t="s">
        <v>3627</v>
      </c>
      <c r="E86" s="0" t="s">
        <v>3628</v>
      </c>
      <c r="F86" s="0" t="s">
        <v>3461</v>
      </c>
      <c r="G86" s="0" t="s">
        <v>1277</v>
      </c>
    </row>
    <row customHeight="1" ht="11.25">
      <c r="A87" s="0" t="s">
        <v>16</v>
      </c>
      <c r="B87" s="0" t="s">
        <v>3629</v>
      </c>
      <c r="C87" s="0" t="s">
        <v>3630</v>
      </c>
      <c r="D87" s="0" t="s">
        <v>3629</v>
      </c>
      <c r="E87" s="0" t="s">
        <v>3630</v>
      </c>
      <c r="F87" s="0" t="s">
        <v>3461</v>
      </c>
      <c r="G87" s="0" t="s">
        <v>1279</v>
      </c>
    </row>
    <row customHeight="1" ht="11.25">
      <c r="A88" s="0" t="s">
        <v>16</v>
      </c>
      <c r="B88" s="0" t="s">
        <v>3631</v>
      </c>
      <c r="C88" s="0" t="s">
        <v>3632</v>
      </c>
      <c r="D88" s="0" t="s">
        <v>3633</v>
      </c>
      <c r="E88" s="0" t="s">
        <v>3634</v>
      </c>
      <c r="F88" s="0" t="s">
        <v>3479</v>
      </c>
      <c r="G88" s="0" t="s">
        <v>1282</v>
      </c>
    </row>
    <row customHeight="1" ht="11.25">
      <c r="A89" s="0" t="s">
        <v>16</v>
      </c>
      <c r="B89" s="0" t="s">
        <v>3631</v>
      </c>
      <c r="C89" s="0" t="s">
        <v>3632</v>
      </c>
      <c r="D89" s="0" t="s">
        <v>3635</v>
      </c>
      <c r="E89" s="0" t="s">
        <v>3636</v>
      </c>
      <c r="F89" s="0" t="s">
        <v>3485</v>
      </c>
      <c r="G89" s="0" t="s">
        <v>1284</v>
      </c>
    </row>
    <row customHeight="1" ht="11.25">
      <c r="A90" s="0" t="s">
        <v>16</v>
      </c>
      <c r="B90" s="0" t="s">
        <v>3631</v>
      </c>
      <c r="C90" s="0" t="s">
        <v>3632</v>
      </c>
      <c r="D90" s="0" t="s">
        <v>3637</v>
      </c>
      <c r="E90" s="0" t="s">
        <v>3638</v>
      </c>
      <c r="F90" s="0" t="s">
        <v>3479</v>
      </c>
      <c r="G90" s="0" t="s">
        <v>1286</v>
      </c>
    </row>
    <row customHeight="1" ht="11.25">
      <c r="A91" s="0" t="s">
        <v>16</v>
      </c>
      <c r="B91" s="0" t="s">
        <v>3631</v>
      </c>
      <c r="C91" s="0" t="s">
        <v>3632</v>
      </c>
      <c r="D91" s="0" t="s">
        <v>3639</v>
      </c>
      <c r="E91" s="0" t="s">
        <v>3640</v>
      </c>
      <c r="F91" s="0" t="s">
        <v>3504</v>
      </c>
      <c r="G91" s="0" t="s">
        <v>1288</v>
      </c>
    </row>
    <row customHeight="1" ht="11.25">
      <c r="A92" s="0" t="s">
        <v>16</v>
      </c>
      <c r="B92" s="0" t="s">
        <v>3631</v>
      </c>
      <c r="C92" s="0" t="s">
        <v>3632</v>
      </c>
      <c r="D92" s="0" t="s">
        <v>3641</v>
      </c>
      <c r="E92" s="0" t="s">
        <v>3642</v>
      </c>
      <c r="F92" s="0" t="s">
        <v>3479</v>
      </c>
      <c r="G92" s="0" t="s">
        <v>1290</v>
      </c>
    </row>
    <row customHeight="1" ht="11.25">
      <c r="A93" s="0" t="s">
        <v>16</v>
      </c>
      <c r="B93" s="0" t="s">
        <v>3631</v>
      </c>
      <c r="C93" s="0" t="s">
        <v>3632</v>
      </c>
      <c r="D93" s="0" t="s">
        <v>3631</v>
      </c>
      <c r="E93" s="0" t="s">
        <v>3632</v>
      </c>
      <c r="F93" s="0" t="s">
        <v>3480</v>
      </c>
      <c r="G93" s="0" t="s">
        <v>1292</v>
      </c>
    </row>
    <row customHeight="1" ht="11.25">
      <c r="A94" s="0" t="s">
        <v>16</v>
      </c>
      <c r="B94" s="0" t="s">
        <v>3631</v>
      </c>
      <c r="C94" s="0" t="s">
        <v>3632</v>
      </c>
      <c r="D94" s="0" t="s">
        <v>3643</v>
      </c>
      <c r="E94" s="0" t="s">
        <v>3644</v>
      </c>
      <c r="F94" s="0" t="s">
        <v>3479</v>
      </c>
      <c r="G94" s="0" t="s">
        <v>1294</v>
      </c>
    </row>
    <row customHeight="1" ht="11.25">
      <c r="A95" s="0" t="s">
        <v>16</v>
      </c>
      <c r="B95" s="0" t="s">
        <v>3645</v>
      </c>
      <c r="C95" s="0" t="s">
        <v>3646</v>
      </c>
      <c r="D95" s="0" t="s">
        <v>3645</v>
      </c>
      <c r="E95" s="0" t="s">
        <v>3646</v>
      </c>
      <c r="F95" s="0" t="s">
        <v>3461</v>
      </c>
      <c r="G95" s="0" t="s">
        <v>1296</v>
      </c>
    </row>
    <row customHeight="1" ht="11.25">
      <c r="A96" s="0" t="s">
        <v>16</v>
      </c>
      <c r="B96" s="0" t="s">
        <v>3647</v>
      </c>
      <c r="C96" s="0" t="s">
        <v>3648</v>
      </c>
      <c r="D96" s="0" t="s">
        <v>3647</v>
      </c>
      <c r="E96" s="0" t="s">
        <v>3648</v>
      </c>
      <c r="F96" s="0" t="s">
        <v>3461</v>
      </c>
      <c r="G96" s="0" t="s">
        <v>1298</v>
      </c>
    </row>
    <row customHeight="1" ht="11.25">
      <c r="A97" s="0" t="s">
        <v>16</v>
      </c>
      <c r="B97" s="0" t="s">
        <v>3649</v>
      </c>
      <c r="C97" s="0" t="s">
        <v>3650</v>
      </c>
      <c r="D97" s="0" t="s">
        <v>3651</v>
      </c>
      <c r="E97" s="0" t="s">
        <v>3652</v>
      </c>
      <c r="F97" s="0" t="s">
        <v>3479</v>
      </c>
      <c r="G97" s="0" t="s">
        <v>1300</v>
      </c>
    </row>
    <row customHeight="1" ht="11.25">
      <c r="A98" s="0" t="s">
        <v>16</v>
      </c>
      <c r="B98" s="0" t="s">
        <v>3649</v>
      </c>
      <c r="C98" s="0" t="s">
        <v>3650</v>
      </c>
      <c r="D98" s="0" t="s">
        <v>3653</v>
      </c>
      <c r="E98" s="0" t="s">
        <v>3654</v>
      </c>
      <c r="F98" s="0" t="s">
        <v>3479</v>
      </c>
      <c r="G98" s="0" t="s">
        <v>1302</v>
      </c>
    </row>
    <row customHeight="1" ht="11.25">
      <c r="A99" s="0" t="s">
        <v>16</v>
      </c>
      <c r="B99" s="0" t="s">
        <v>3649</v>
      </c>
      <c r="C99" s="0" t="s">
        <v>3650</v>
      </c>
      <c r="D99" s="0" t="s">
        <v>3655</v>
      </c>
      <c r="E99" s="0" t="s">
        <v>3656</v>
      </c>
      <c r="F99" s="0" t="s">
        <v>3479</v>
      </c>
      <c r="G99" s="0" t="s">
        <v>1304</v>
      </c>
    </row>
    <row customHeight="1" ht="11.25">
      <c r="A100" s="0" t="s">
        <v>16</v>
      </c>
      <c r="B100" s="0" t="s">
        <v>3649</v>
      </c>
      <c r="C100" s="0" t="s">
        <v>3650</v>
      </c>
      <c r="D100" s="0" t="s">
        <v>3657</v>
      </c>
      <c r="E100" s="0" t="s">
        <v>3658</v>
      </c>
      <c r="F100" s="0" t="s">
        <v>3504</v>
      </c>
      <c r="G100" s="0" t="s">
        <v>1306</v>
      </c>
    </row>
    <row customHeight="1" ht="11.25">
      <c r="A101" s="0" t="s">
        <v>16</v>
      </c>
      <c r="B101" s="0" t="s">
        <v>3649</v>
      </c>
      <c r="C101" s="0" t="s">
        <v>3650</v>
      </c>
      <c r="D101" s="0" t="s">
        <v>3659</v>
      </c>
      <c r="E101" s="0" t="s">
        <v>3660</v>
      </c>
      <c r="F101" s="0" t="s">
        <v>3479</v>
      </c>
      <c r="G101" s="0" t="s">
        <v>1308</v>
      </c>
    </row>
    <row customHeight="1" ht="11.25">
      <c r="A102" s="0" t="s">
        <v>16</v>
      </c>
      <c r="B102" s="0" t="s">
        <v>3649</v>
      </c>
      <c r="C102" s="0" t="s">
        <v>3650</v>
      </c>
      <c r="D102" s="0" t="s">
        <v>3649</v>
      </c>
      <c r="E102" s="0" t="s">
        <v>3650</v>
      </c>
      <c r="F102" s="0" t="s">
        <v>3480</v>
      </c>
      <c r="G102" s="0" t="s">
        <v>1310</v>
      </c>
    </row>
    <row customHeight="1" ht="11.25">
      <c r="A103" s="0" t="s">
        <v>16</v>
      </c>
      <c r="B103" s="0" t="s">
        <v>3649</v>
      </c>
      <c r="C103" s="0" t="s">
        <v>3650</v>
      </c>
      <c r="D103" s="0" t="s">
        <v>3661</v>
      </c>
      <c r="E103" s="0" t="s">
        <v>3662</v>
      </c>
      <c r="F103" s="0" t="s">
        <v>3504</v>
      </c>
      <c r="G103" s="0" t="s">
        <v>1312</v>
      </c>
    </row>
    <row customHeight="1" ht="11.25">
      <c r="A104" s="0" t="s">
        <v>16</v>
      </c>
      <c r="B104" s="0" t="s">
        <v>3649</v>
      </c>
      <c r="C104" s="0" t="s">
        <v>3650</v>
      </c>
      <c r="D104" s="0" t="s">
        <v>3663</v>
      </c>
      <c r="E104" s="0" t="s">
        <v>3664</v>
      </c>
      <c r="F104" s="0" t="s">
        <v>3479</v>
      </c>
      <c r="G104" s="0" t="s">
        <v>1314</v>
      </c>
    </row>
    <row customHeight="1" ht="11.25">
      <c r="A105" s="0" t="s">
        <v>16</v>
      </c>
      <c r="B105" s="0" t="s">
        <v>3665</v>
      </c>
      <c r="C105" s="0" t="s">
        <v>3666</v>
      </c>
      <c r="D105" s="0" t="s">
        <v>3665</v>
      </c>
      <c r="E105" s="0" t="s">
        <v>3666</v>
      </c>
      <c r="F105" s="0" t="s">
        <v>3461</v>
      </c>
      <c r="G105" s="0" t="s">
        <v>1316</v>
      </c>
    </row>
    <row customHeight="1" ht="11.25">
      <c r="A106" s="0" t="s">
        <v>16</v>
      </c>
      <c r="B106" s="0" t="s">
        <v>3667</v>
      </c>
      <c r="C106" s="0" t="s">
        <v>3668</v>
      </c>
      <c r="D106" s="0" t="s">
        <v>3669</v>
      </c>
      <c r="E106" s="0" t="s">
        <v>3670</v>
      </c>
      <c r="F106" s="0" t="s">
        <v>3479</v>
      </c>
      <c r="G106" s="0" t="s">
        <v>1318</v>
      </c>
    </row>
    <row customHeight="1" ht="11.25">
      <c r="A107" s="0" t="s">
        <v>16</v>
      </c>
      <c r="B107" s="0" t="s">
        <v>3667</v>
      </c>
      <c r="C107" s="0" t="s">
        <v>3668</v>
      </c>
      <c r="D107" s="0" t="s">
        <v>3671</v>
      </c>
      <c r="E107" s="0" t="s">
        <v>3672</v>
      </c>
      <c r="F107" s="0" t="s">
        <v>3479</v>
      </c>
      <c r="G107" s="0" t="s">
        <v>3673</v>
      </c>
    </row>
    <row customHeight="1" ht="11.25">
      <c r="A108" s="0" t="s">
        <v>16</v>
      </c>
      <c r="B108" s="0" t="s">
        <v>3667</v>
      </c>
      <c r="C108" s="0" t="s">
        <v>3668</v>
      </c>
      <c r="D108" s="0" t="s">
        <v>3674</v>
      </c>
      <c r="E108" s="0" t="s">
        <v>3675</v>
      </c>
      <c r="F108" s="0" t="s">
        <v>3479</v>
      </c>
      <c r="G108" s="0" t="s">
        <v>3676</v>
      </c>
    </row>
    <row customHeight="1" ht="11.25">
      <c r="A109" s="0" t="s">
        <v>16</v>
      </c>
      <c r="B109" s="0" t="s">
        <v>3667</v>
      </c>
      <c r="C109" s="0" t="s">
        <v>3668</v>
      </c>
      <c r="D109" s="0" t="s">
        <v>3677</v>
      </c>
      <c r="E109" s="0" t="s">
        <v>3678</v>
      </c>
      <c r="F109" s="0" t="s">
        <v>3479</v>
      </c>
      <c r="G109" s="0" t="s">
        <v>3679</v>
      </c>
    </row>
    <row customHeight="1" ht="11.25">
      <c r="A110" s="0" t="s">
        <v>16</v>
      </c>
      <c r="B110" s="0" t="s">
        <v>3667</v>
      </c>
      <c r="C110" s="0" t="s">
        <v>3668</v>
      </c>
      <c r="D110" s="0" t="s">
        <v>3667</v>
      </c>
      <c r="E110" s="0" t="s">
        <v>3668</v>
      </c>
      <c r="F110" s="0" t="s">
        <v>3480</v>
      </c>
      <c r="G110" s="0" t="s">
        <v>3680</v>
      </c>
    </row>
    <row customHeight="1" ht="11.25">
      <c r="A111" s="0" t="s">
        <v>16</v>
      </c>
      <c r="B111" s="0" t="s">
        <v>3667</v>
      </c>
      <c r="C111" s="0" t="s">
        <v>3668</v>
      </c>
      <c r="D111" s="0" t="s">
        <v>3681</v>
      </c>
      <c r="E111" s="0" t="s">
        <v>3682</v>
      </c>
      <c r="F111" s="0" t="s">
        <v>3479</v>
      </c>
      <c r="G111" s="0" t="s">
        <v>3683</v>
      </c>
    </row>
    <row customHeight="1" ht="11.25">
      <c r="A112" s="0" t="s">
        <v>16</v>
      </c>
      <c r="B112" s="0" t="s">
        <v>3684</v>
      </c>
      <c r="C112" s="0" t="s">
        <v>3685</v>
      </c>
      <c r="D112" s="0" t="s">
        <v>3684</v>
      </c>
      <c r="E112" s="0" t="s">
        <v>3685</v>
      </c>
      <c r="F112" s="0" t="s">
        <v>3464</v>
      </c>
      <c r="G112" s="0" t="s">
        <v>636</v>
      </c>
    </row>
    <row customHeight="1" ht="11.25">
      <c r="A113" s="0" t="s">
        <v>16</v>
      </c>
      <c r="B113" s="0" t="s">
        <v>3686</v>
      </c>
      <c r="C113" s="0" t="s">
        <v>3687</v>
      </c>
      <c r="D113" s="0" t="s">
        <v>3686</v>
      </c>
      <c r="E113" s="0" t="s">
        <v>3687</v>
      </c>
      <c r="F113" s="0" t="s">
        <v>3464</v>
      </c>
      <c r="G113" s="0" t="s">
        <v>3688</v>
      </c>
    </row>
    <row customHeight="1" ht="11.25">
      <c r="A114" s="0" t="s">
        <v>16</v>
      </c>
      <c r="B114" s="0" t="s">
        <v>3689</v>
      </c>
      <c r="C114" s="0" t="s">
        <v>3690</v>
      </c>
      <c r="D114" s="0" t="s">
        <v>3689</v>
      </c>
      <c r="E114" s="0" t="s">
        <v>3690</v>
      </c>
      <c r="F114" s="0" t="s">
        <v>3461</v>
      </c>
      <c r="G114" s="0" t="s">
        <v>3691</v>
      </c>
    </row>
    <row customHeight="1" ht="11.25">
      <c r="A115" s="0" t="s">
        <v>16</v>
      </c>
      <c r="B115" s="0" t="s">
        <v>3692</v>
      </c>
      <c r="C115" s="0" t="s">
        <v>3693</v>
      </c>
      <c r="D115" s="0" t="s">
        <v>3692</v>
      </c>
      <c r="E115" s="0" t="s">
        <v>3693</v>
      </c>
      <c r="F115" s="0" t="s">
        <v>3461</v>
      </c>
      <c r="G115" s="0" t="s">
        <v>3694</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F094E6-3CF2-93D5-FA33-0.94B7218F}"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9" width="9.140625"/>
    <col min="2" max="2" style="1699" width="84.28125" customWidth="1"/>
    <col min="3" max="3" style="1699" width="9.140625"/>
  </cols>
  <sheetData>
    <row customHeight="1" ht="11.25">
      <c r="A1" s="844" t="s">
        <v>3807</v>
      </c>
      <c r="B1" s="844" t="s">
        <v>3808</v>
      </c>
      <c r="C1" s="844" t="s">
        <v>1476</v>
      </c>
    </row>
    <row customHeight="1" ht="11.25">
      <c r="A2" s="844">
        <v>4189678</v>
      </c>
      <c r="B2" s="844" t="s">
        <v>3809</v>
      </c>
      <c r="C2" s="844" t="s">
        <v>3810</v>
      </c>
    </row>
    <row customHeight="1" ht="11.25">
      <c r="A3" s="844">
        <v>4190415</v>
      </c>
      <c r="B3" s="844" t="s">
        <v>3811</v>
      </c>
      <c r="C3" s="844" t="s">
        <v>3810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E9A12A-CBCF-9ED6-BC1C-0.050766B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71" width="38.421875" customWidth="1"/>
    <col min="2" max="5" style="171" width="9.140625"/>
  </cols>
  <sheetData>
    <row customHeight="1" ht="15">
      <c r="A1" s="172" t="s">
        <v>3812</v>
      </c>
      <c r="B1" s="172" t="s">
        <v>3813</v>
      </c>
      <c r="C1" s="172"/>
      <c r="D1" s="172"/>
      <c r="E1" s="172"/>
    </row>
    <row customHeight="1" ht="15">
      <c r="A2" s="172"/>
      <c r="B2" s="172"/>
      <c r="C2" s="172"/>
      <c r="D2" s="172"/>
      <c r="E2" s="172"/>
    </row>
    <row customHeight="1" ht="15">
      <c r="A3" s="172"/>
      <c r="B3" s="172"/>
      <c r="C3" s="172"/>
      <c r="D3" s="172"/>
      <c r="E3" s="172"/>
    </row>
    <row customHeight="1" ht="15">
      <c r="A4" s="172"/>
      <c r="B4" s="172"/>
      <c r="C4" s="172"/>
      <c r="D4" s="172"/>
      <c r="E4" s="172"/>
    </row>
    <row customHeight="1" ht="15">
      <c r="A5" s="172"/>
      <c r="B5" s="172"/>
      <c r="C5" s="172"/>
      <c r="D5" s="172"/>
      <c r="E5" s="172"/>
    </row>
    <row customHeight="1" ht="15">
      <c r="A6" s="172"/>
      <c r="B6" s="172"/>
      <c r="C6" s="172"/>
      <c r="D6" s="172"/>
      <c r="E6" s="172"/>
    </row>
    <row customHeight="1" ht="15">
      <c r="A7" s="172"/>
      <c r="B7" s="172"/>
      <c r="C7" s="172"/>
      <c r="D7" s="172"/>
      <c r="E7" s="172"/>
    </row>
    <row customHeight="1" ht="15">
      <c r="A8" s="172"/>
      <c r="B8" s="172"/>
      <c r="C8" s="172"/>
      <c r="D8" s="172"/>
      <c r="E8" s="172"/>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181183-FBF1-8732-3CDF-0.78AE9497}"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3814</v>
      </c>
      <c r="B1" s="0" t="b">
        <v>1</v>
      </c>
    </row>
    <row customHeight="1" ht="11.25">
      <c r="A2" s="0" t="s">
        <v>3815</v>
      </c>
      <c r="B2" s="0" t="b">
        <v>0</v>
      </c>
    </row>
    <row customHeight="1" ht="11.25">
      <c r="A3" s="0" t="s">
        <v>3816</v>
      </c>
      <c r="B3" s="0" t="b">
        <v>1</v>
      </c>
    </row>
    <row customHeight="1" ht="11.25">
      <c r="A4" s="0" t="s">
        <v>3817</v>
      </c>
      <c r="B4" s="0" t="b">
        <v>0</v>
      </c>
    </row>
    <row customHeight="1" ht="11.25">
      <c r="A5" s="0" t="s">
        <v>3818</v>
      </c>
      <c r="B5" s="0" t="b">
        <v>0</v>
      </c>
    </row>
    <row customHeight="1" ht="11.25">
      <c r="A6" s="0" t="s">
        <v>3819</v>
      </c>
      <c r="B6" s="0" t="b">
        <v>0</v>
      </c>
    </row>
    <row customHeight="1" ht="11.25">
      <c r="A7" s="0" t="s">
        <v>3820</v>
      </c>
      <c r="B7" s="0" t="b">
        <v>0</v>
      </c>
    </row>
    <row customHeight="1" ht="11.25">
      <c r="A8" s="0" t="s">
        <v>3821</v>
      </c>
      <c r="B8" s="0" t="b">
        <v>0</v>
      </c>
    </row>
    <row customHeight="1" ht="11.25">
      <c r="A9" s="0" t="s">
        <v>3822</v>
      </c>
      <c r="B9" s="0" t="b">
        <v>0</v>
      </c>
    </row>
    <row customHeight="1" ht="11.25">
      <c r="A10" s="0" t="s">
        <v>3823</v>
      </c>
      <c r="B10" s="0" t="b">
        <v>1</v>
      </c>
    </row>
    <row customHeight="1" ht="11.25">
      <c r="A11" s="0" t="s">
        <v>3824</v>
      </c>
      <c r="B11" s="0" t="b">
        <v>0</v>
      </c>
    </row>
    <row customHeight="1" ht="11.25">
      <c r="A12" s="0" t="s">
        <v>3825</v>
      </c>
      <c r="B12" s="0" t="b">
        <v>0</v>
      </c>
    </row>
    <row customHeight="1" ht="11.25">
      <c r="A13" s="0" t="s">
        <v>3826</v>
      </c>
      <c r="B13" s="0" t="b">
        <v>0</v>
      </c>
    </row>
    <row customHeight="1" ht="11.25">
      <c r="A14" s="0" t="s">
        <v>3827</v>
      </c>
      <c r="B14" s="0" t="b">
        <v>0</v>
      </c>
    </row>
    <row customHeight="1" ht="11.25">
      <c r="A15" s="0" t="s">
        <v>3828</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939AF5-66E5-D0E6-CF12-0.B62A856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920" width="9.140625"/>
  </cols>
  <sheetData>
    <row customHeight="1" ht="12.75">
      <c r="A1" s="6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FFC13F-AE6B-7A79-3751-0.98C14E06}"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6" width="36.28125" customWidth="1"/>
    <col min="2" max="2" style="1856" width="21.140625" customWidth="1"/>
  </cols>
  <sheetData>
    <row customHeight="1" ht="11.25">
      <c r="A1" s="76" t="s">
        <v>3829</v>
      </c>
      <c r="B1" s="76" t="s">
        <v>3830</v>
      </c>
    </row>
    <row customHeight="1" ht="11.25">
      <c r="A2" s="73" t="s">
        <v>3831</v>
      </c>
      <c r="B2" s="73" t="s">
        <v>3832</v>
      </c>
    </row>
    <row customHeight="1" ht="11.25">
      <c r="A3" s="73" t="s">
        <v>3833</v>
      </c>
      <c r="B3" s="73" t="s">
        <v>3834</v>
      </c>
    </row>
    <row customHeight="1" ht="11.25">
      <c r="A4" s="73" t="s">
        <v>3835</v>
      </c>
      <c r="B4" s="73" t="s">
        <v>3836</v>
      </c>
    </row>
    <row customHeight="1" ht="11.25">
      <c r="A5" s="73" t="s">
        <v>3837</v>
      </c>
      <c r="B5" s="73" t="s">
        <v>3838</v>
      </c>
    </row>
    <row customHeight="1" ht="11.25">
      <c r="A6" s="73" t="s">
        <v>3839</v>
      </c>
      <c r="B6" s="73" t="s">
        <v>3840</v>
      </c>
    </row>
    <row customHeight="1" ht="11.25">
      <c r="A7" s="73" t="s">
        <v>3841</v>
      </c>
      <c r="B7" s="73" t="s">
        <v>3842</v>
      </c>
    </row>
    <row customHeight="1" ht="11.25">
      <c r="A8" s="73" t="s">
        <v>3843</v>
      </c>
      <c r="B8" s="73" t="s">
        <v>3844</v>
      </c>
    </row>
    <row customHeight="1" ht="11.25">
      <c r="A9" s="73" t="s">
        <v>3845</v>
      </c>
      <c r="B9" s="73" t="s">
        <v>3846</v>
      </c>
    </row>
    <row customHeight="1" ht="11.25">
      <c r="A10" s="73" t="s">
        <v>3847</v>
      </c>
      <c r="B10" s="73" t="s">
        <v>3848</v>
      </c>
    </row>
    <row customHeight="1" ht="11.25">
      <c r="A11" s="73" t="s">
        <v>3849</v>
      </c>
      <c r="B11" s="73" t="s">
        <v>3850</v>
      </c>
    </row>
    <row customHeight="1" ht="11.25">
      <c r="A12" s="73" t="s">
        <v>3851</v>
      </c>
      <c r="B12" s="73" t="s">
        <v>3852</v>
      </c>
    </row>
    <row customHeight="1" ht="11.25">
      <c r="A13" s="73" t="s">
        <v>3853</v>
      </c>
      <c r="B13" s="73" t="s">
        <v>3854</v>
      </c>
    </row>
    <row customHeight="1" ht="11.25">
      <c r="A14" s="73" t="s">
        <v>3855</v>
      </c>
      <c r="B14" s="73" t="s">
        <v>3856</v>
      </c>
    </row>
    <row customHeight="1" ht="11.25">
      <c r="A15" s="73" t="s">
        <v>3857</v>
      </c>
      <c r="B15" s="73" t="s">
        <v>3858</v>
      </c>
    </row>
    <row customHeight="1" ht="11.25">
      <c r="A16" s="73" t="s">
        <v>3859</v>
      </c>
      <c r="B16" s="73" t="s">
        <v>3860</v>
      </c>
    </row>
    <row customHeight="1" ht="11.25">
      <c r="A17" s="73" t="s">
        <v>3861</v>
      </c>
      <c r="B17" s="73" t="s">
        <v>3862</v>
      </c>
    </row>
    <row customHeight="1" ht="11.25">
      <c r="A18" s="73" t="s">
        <v>3863</v>
      </c>
      <c r="B18" s="73" t="s">
        <v>3864</v>
      </c>
    </row>
    <row customHeight="1" ht="11.25">
      <c r="A19" s="73" t="s">
        <v>3865</v>
      </c>
      <c r="B19" s="73" t="s">
        <v>3866</v>
      </c>
    </row>
    <row customHeight="1" ht="11.25">
      <c r="A20" s="73" t="s">
        <v>3867</v>
      </c>
      <c r="B20" s="73" t="s">
        <v>3868</v>
      </c>
    </row>
    <row customHeight="1" ht="11.25">
      <c r="A21" s="73" t="s">
        <v>3869</v>
      </c>
      <c r="B21" s="73" t="s">
        <v>3870</v>
      </c>
    </row>
    <row customHeight="1" ht="11.25">
      <c r="A22" s="73" t="s">
        <v>3871</v>
      </c>
      <c r="B22" s="73" t="s">
        <v>3872</v>
      </c>
    </row>
    <row customHeight="1" ht="11.25">
      <c r="A23" s="73" t="s">
        <v>3873</v>
      </c>
      <c r="B23" s="73" t="s">
        <v>3874</v>
      </c>
    </row>
    <row customHeight="1" ht="11.25">
      <c r="A24" s="73" t="s">
        <v>3875</v>
      </c>
      <c r="B24" s="73" t="s">
        <v>3876</v>
      </c>
    </row>
    <row customHeight="1" ht="11.25">
      <c r="A25" s="73" t="s">
        <v>3877</v>
      </c>
      <c r="B25" s="73" t="s">
        <v>3878</v>
      </c>
    </row>
    <row customHeight="1" ht="11.25">
      <c r="A26" s="73" t="s">
        <v>3879</v>
      </c>
      <c r="B26" s="73" t="s">
        <v>3880</v>
      </c>
    </row>
    <row customHeight="1" ht="11.25">
      <c r="A27" s="73" t="s">
        <v>3881</v>
      </c>
      <c r="B27" s="73" t="s">
        <v>3882</v>
      </c>
    </row>
    <row customHeight="1" ht="11.25">
      <c r="A28" s="73" t="s">
        <v>3883</v>
      </c>
      <c r="B28" s="73" t="s">
        <v>3884</v>
      </c>
    </row>
    <row customHeight="1" ht="11.25">
      <c r="A29" s="73" t="s">
        <v>3885</v>
      </c>
      <c r="B29" s="73" t="s">
        <v>3886</v>
      </c>
    </row>
    <row customHeight="1" ht="11.25">
      <c r="A30" s="73" t="s">
        <v>3887</v>
      </c>
      <c r="B30" s="73" t="s">
        <v>3888</v>
      </c>
    </row>
    <row customHeight="1" ht="11.25">
      <c r="A31" s="73" t="s">
        <v>3889</v>
      </c>
      <c r="B31" s="73" t="s">
        <v>3890</v>
      </c>
    </row>
    <row customHeight="1" ht="11.25">
      <c r="A32" s="73" t="s">
        <v>3891</v>
      </c>
      <c r="B32" s="73" t="s">
        <v>3892</v>
      </c>
    </row>
    <row customHeight="1" ht="11.25">
      <c r="A33" s="73" t="s">
        <v>3893</v>
      </c>
      <c r="B33" s="73" t="s">
        <v>3894</v>
      </c>
    </row>
    <row customHeight="1" ht="11.25">
      <c r="A34" s="73" t="s">
        <v>3895</v>
      </c>
      <c r="B34" s="73" t="s">
        <v>3896</v>
      </c>
    </row>
    <row customHeight="1" ht="11.25">
      <c r="A35" s="73" t="s">
        <v>3897</v>
      </c>
      <c r="B35" s="73" t="s">
        <v>3898</v>
      </c>
    </row>
    <row customHeight="1" ht="11.25">
      <c r="A36" s="73" t="s">
        <v>3899</v>
      </c>
      <c r="B36" s="73" t="s">
        <v>3900</v>
      </c>
    </row>
    <row customHeight="1" ht="11.25">
      <c r="A37" s="73" t="s">
        <v>3901</v>
      </c>
      <c r="B37" s="73" t="s">
        <v>3902</v>
      </c>
    </row>
    <row customHeight="1" ht="11.25">
      <c r="A38" s="73" t="s">
        <v>3903</v>
      </c>
      <c r="B38" s="73" t="s">
        <v>3904</v>
      </c>
    </row>
    <row customHeight="1" ht="11.25">
      <c r="A39" s="73" t="s">
        <v>3905</v>
      </c>
      <c r="B39" s="73" t="s">
        <v>3906</v>
      </c>
    </row>
    <row customHeight="1" ht="11.25">
      <c r="A40" s="73" t="s">
        <v>3907</v>
      </c>
      <c r="B40" s="73" t="s">
        <v>3908</v>
      </c>
    </row>
    <row customHeight="1" ht="11.25">
      <c r="A41" s="73" t="s">
        <v>3909</v>
      </c>
      <c r="B41" s="73" t="s">
        <v>3910</v>
      </c>
    </row>
    <row customHeight="1" ht="11.25">
      <c r="A42" s="73" t="s">
        <v>3911</v>
      </c>
      <c r="B42" s="73" t="s">
        <v>3912</v>
      </c>
    </row>
    <row customHeight="1" ht="11.25">
      <c r="A43" s="73" t="s">
        <v>3913</v>
      </c>
      <c r="B43" s="73" t="s">
        <v>3914</v>
      </c>
    </row>
    <row customHeight="1" ht="11.25">
      <c r="A44" s="73" t="s">
        <v>3915</v>
      </c>
      <c r="B44" s="73" t="s">
        <v>3916</v>
      </c>
    </row>
    <row customHeight="1" ht="11.25">
      <c r="A45" s="73" t="s">
        <v>3917</v>
      </c>
      <c r="B45" s="73" t="s">
        <v>3918</v>
      </c>
    </row>
    <row customHeight="1" ht="11.25">
      <c r="A46" s="73" t="s">
        <v>3919</v>
      </c>
      <c r="B46" s="73" t="s">
        <v>3920</v>
      </c>
    </row>
    <row customHeight="1" ht="11.25">
      <c r="A47" s="73" t="s">
        <v>3921</v>
      </c>
      <c r="B47" s="73" t="s">
        <v>3922</v>
      </c>
    </row>
    <row customHeight="1" ht="11.25">
      <c r="A48" s="73" t="s">
        <v>3923</v>
      </c>
      <c r="B48" s="73" t="s">
        <v>3924</v>
      </c>
    </row>
    <row customHeight="1" ht="11.25">
      <c r="A49" s="73" t="s">
        <v>3925</v>
      </c>
      <c r="B49" s="73" t="s">
        <v>3926</v>
      </c>
    </row>
    <row customHeight="1" ht="11.25">
      <c r="A50" s="73" t="s">
        <v>3927</v>
      </c>
      <c r="B50" s="73" t="s">
        <v>3928</v>
      </c>
    </row>
    <row customHeight="1" ht="11.25">
      <c r="A51" s="73" t="s">
        <v>3929</v>
      </c>
      <c r="B51" s="73" t="s">
        <v>3930</v>
      </c>
    </row>
    <row customHeight="1" ht="11.25">
      <c r="A52" s="73" t="s">
        <v>3931</v>
      </c>
      <c r="B52" s="73" t="s">
        <v>3932</v>
      </c>
    </row>
    <row customHeight="1" ht="11.25">
      <c r="A53" s="73" t="s">
        <v>3933</v>
      </c>
      <c r="B53" s="73" t="s">
        <v>3934</v>
      </c>
    </row>
    <row customHeight="1" ht="11.25">
      <c r="A54" s="73" t="s">
        <v>3935</v>
      </c>
      <c r="B54" s="73" t="s">
        <v>3936</v>
      </c>
    </row>
    <row customHeight="1" ht="11.25">
      <c r="A55" s="73" t="s">
        <v>3937</v>
      </c>
      <c r="B55" s="73" t="s">
        <v>3938</v>
      </c>
    </row>
    <row customHeight="1" ht="11.25">
      <c r="A56" s="73" t="s">
        <v>3939</v>
      </c>
      <c r="B56" s="73" t="s">
        <v>3940</v>
      </c>
    </row>
    <row customHeight="1" ht="11.25">
      <c r="A57" s="73" t="s">
        <v>3941</v>
      </c>
      <c r="B57" s="73" t="s">
        <v>3942</v>
      </c>
    </row>
    <row customHeight="1" ht="11.25">
      <c r="A58" s="73" t="s">
        <v>3943</v>
      </c>
      <c r="B58" s="73" t="s">
        <v>3944</v>
      </c>
    </row>
    <row customHeight="1" ht="11.25">
      <c r="A59" s="73" t="s">
        <v>3945</v>
      </c>
      <c r="B59" s="73" t="s">
        <v>3946</v>
      </c>
    </row>
    <row customHeight="1" ht="11.25">
      <c r="A60" s="73" t="s">
        <v>3947</v>
      </c>
      <c r="B60" s="73" t="s">
        <v>3948</v>
      </c>
    </row>
    <row customHeight="1" ht="11.25">
      <c r="A61" s="73"/>
      <c r="B61" s="73" t="s">
        <v>3949</v>
      </c>
    </row>
    <row customHeight="1" ht="11.25">
      <c r="A62" s="73"/>
      <c r="B62" s="73" t="s">
        <v>3950</v>
      </c>
    </row>
    <row customHeight="1" ht="11.25">
      <c r="A63" s="73"/>
      <c r="B63" s="73" t="s">
        <v>3951</v>
      </c>
    </row>
    <row customHeight="1" ht="11.25">
      <c r="A64" s="73"/>
      <c r="B64" s="73" t="s">
        <v>3952</v>
      </c>
    </row>
    <row customHeight="1" ht="11.25">
      <c r="A65" s="73"/>
      <c r="B65" s="73" t="s">
        <v>3953</v>
      </c>
    </row>
    <row customHeight="1" ht="11.25">
      <c r="A66" s="73"/>
      <c r="B66" s="73" t="s">
        <v>3954</v>
      </c>
    </row>
    <row customHeight="1" ht="11.25">
      <c r="A67" s="73"/>
      <c r="B67" s="73" t="s">
        <v>3955</v>
      </c>
    </row>
    <row customHeight="1" ht="11.25">
      <c r="A68" s="73"/>
      <c r="B68" s="73" t="s">
        <v>3956</v>
      </c>
    </row>
    <row customHeight="1" ht="11.25">
      <c r="A69" s="73"/>
      <c r="B69" s="73" t="s">
        <v>3957</v>
      </c>
    </row>
    <row customHeight="1" ht="11.25">
      <c r="A70" s="73"/>
      <c r="B70" s="73" t="s">
        <v>3958</v>
      </c>
    </row>
    <row customHeight="1" ht="11.25">
      <c r="A71" s="73"/>
      <c r="B71" s="73"/>
    </row>
    <row customHeight="1" ht="11.25">
      <c r="A72" s="73"/>
      <c r="B72" s="73"/>
    </row>
    <row customHeight="1" ht="11.25">
      <c r="A73" s="73"/>
      <c r="B73" s="73"/>
    </row>
    <row customHeight="1" ht="11.25">
      <c r="A74" s="73"/>
      <c r="B74" s="73"/>
    </row>
    <row customHeight="1" ht="11.25">
      <c r="A75" s="73"/>
      <c r="B75" s="73"/>
    </row>
    <row customHeight="1" ht="11.25">
      <c r="A76" s="73"/>
      <c r="B76" s="73"/>
    </row>
    <row customHeight="1" ht="11.25">
      <c r="A77" s="73"/>
      <c r="B77" s="73"/>
    </row>
    <row customHeight="1" ht="11.25">
      <c r="A78" s="73"/>
      <c r="B78" s="73"/>
    </row>
    <row customHeight="1" ht="11.25">
      <c r="A79" s="73"/>
      <c r="B79" s="73"/>
    </row>
    <row customHeight="1" ht="11.25">
      <c r="A80" s="73"/>
      <c r="B80" s="73"/>
    </row>
    <row customHeight="1" ht="11.25">
      <c r="A81" s="73"/>
      <c r="B81" s="73"/>
    </row>
    <row customHeight="1" ht="11.25">
      <c r="A82" s="73"/>
      <c r="B82" s="73"/>
    </row>
    <row customHeight="1" ht="11.25">
      <c r="A83" s="73"/>
      <c r="B83" s="73"/>
    </row>
    <row customHeight="1" ht="11.25">
      <c r="A84" s="73"/>
      <c r="B84" s="73"/>
    </row>
    <row customHeight="1" ht="11.25">
      <c r="A85" s="73"/>
      <c r="B85" s="73"/>
    </row>
    <row customHeight="1" ht="11.25">
      <c r="A86" s="73"/>
      <c r="B86" s="73"/>
    </row>
    <row customHeight="1" ht="11.25">
      <c r="A87" s="73"/>
      <c r="B87" s="73"/>
    </row>
    <row customHeight="1" ht="11.25">
      <c r="A88" s="73"/>
      <c r="B88" s="73"/>
    </row>
    <row customHeight="1" ht="11.25">
      <c r="A89" s="73"/>
      <c r="B89" s="73"/>
    </row>
    <row customHeight="1" ht="11.25">
      <c r="A90" s="73"/>
      <c r="B90" s="73"/>
    </row>
    <row customHeight="1" ht="11.25">
      <c r="A91" s="73"/>
      <c r="B91" s="73"/>
    </row>
    <row customHeight="1" ht="11.25">
      <c r="A92" s="73"/>
      <c r="B92" s="73"/>
    </row>
    <row customHeight="1" ht="11.25">
      <c r="A93" s="73"/>
      <c r="B93" s="73"/>
    </row>
    <row customHeight="1" ht="11.25">
      <c r="A94" s="73"/>
      <c r="B94" s="73"/>
    </row>
    <row customHeight="1" ht="11.25">
      <c r="A95" s="73"/>
      <c r="B95" s="73"/>
    </row>
    <row customHeight="1" ht="11.25">
      <c r="A96" s="73"/>
      <c r="B96" s="73"/>
    </row>
    <row customHeight="1" ht="11.25">
      <c r="A97" s="73"/>
      <c r="B97" s="73"/>
    </row>
    <row customHeight="1" ht="11.25">
      <c r="A98" s="73"/>
      <c r="B98" s="73"/>
    </row>
    <row customHeight="1" ht="11.25">
      <c r="A99" s="73"/>
      <c r="B99" s="73"/>
    </row>
    <row customHeight="1" ht="11.25">
      <c r="A100" s="73"/>
      <c r="B100" s="73"/>
    </row>
    <row customHeight="1" ht="11.25">
      <c r="A101" s="73"/>
      <c r="B101" s="73"/>
    </row>
    <row customHeight="1" ht="11.25">
      <c r="A102" s="73"/>
      <c r="B102" s="73"/>
    </row>
    <row customHeight="1" ht="11.25">
      <c r="A103" s="73"/>
      <c r="B103" s="73"/>
    </row>
    <row customHeight="1" ht="11.25">
      <c r="A104" s="73"/>
      <c r="B104" s="73"/>
    </row>
    <row customHeight="1" ht="11.25">
      <c r="A105" s="73"/>
      <c r="B105" s="73"/>
    </row>
    <row customHeight="1" ht="11.25">
      <c r="A106" s="73"/>
      <c r="B106" s="73"/>
    </row>
    <row customHeight="1" ht="11.25">
      <c r="A107" s="73"/>
      <c r="B107" s="73"/>
    </row>
    <row customHeight="1" ht="11.25">
      <c r="A108" s="73"/>
      <c r="B108" s="73"/>
    </row>
    <row customHeight="1" ht="11.25">
      <c r="A109" s="73"/>
      <c r="B109" s="73"/>
    </row>
    <row customHeight="1" ht="11.25">
      <c r="A110" s="73"/>
      <c r="B110" s="73"/>
    </row>
    <row customHeight="1" ht="11.25">
      <c r="A111" s="73"/>
      <c r="B111" s="73"/>
    </row>
    <row customHeight="1" ht="11.25">
      <c r="A112" s="73"/>
      <c r="B112" s="73"/>
    </row>
    <row customHeight="1" ht="11.25">
      <c r="A113" s="73"/>
      <c r="B113" s="73"/>
    </row>
    <row customHeight="1" ht="11.25">
      <c r="A114" s="73"/>
      <c r="B114" s="73"/>
    </row>
    <row customHeight="1" ht="11.25">
      <c r="A115" s="73"/>
      <c r="B115" s="73"/>
    </row>
    <row customHeight="1" ht="11.25">
      <c r="A116" s="73"/>
      <c r="B116" s="73"/>
    </row>
    <row customHeight="1" ht="11.25">
      <c r="A117" s="73"/>
      <c r="B117" s="73"/>
    </row>
    <row customHeight="1" ht="11.25">
      <c r="A118" s="73"/>
      <c r="B118" s="73"/>
    </row>
    <row customHeight="1" ht="11.25">
      <c r="A119" s="73"/>
      <c r="B119" s="73"/>
    </row>
    <row customHeight="1" ht="11.25">
      <c r="A120" s="73"/>
      <c r="B120" s="73"/>
    </row>
    <row customHeight="1" ht="11.25">
      <c r="A121" s="73"/>
      <c r="B121" s="73"/>
    </row>
    <row customHeight="1" ht="11.25">
      <c r="A122" s="73"/>
      <c r="B122" s="73"/>
    </row>
    <row customHeight="1" ht="11.25">
      <c r="A123" s="73"/>
      <c r="B123" s="73"/>
    </row>
    <row customHeight="1" ht="11.25">
      <c r="A124" s="73"/>
      <c r="B124" s="73"/>
    </row>
    <row customHeight="1" ht="11.25">
      <c r="A125" s="73"/>
      <c r="B125" s="73"/>
    </row>
    <row customHeight="1" ht="11.25">
      <c r="A126" s="73"/>
      <c r="B126" s="73"/>
    </row>
    <row customHeight="1" ht="11.25">
      <c r="A127" s="73"/>
      <c r="B127" s="73"/>
    </row>
    <row customHeight="1" ht="11.25">
      <c r="A128" s="73"/>
      <c r="B128" s="73"/>
    </row>
    <row customHeight="1" ht="11.25">
      <c r="A129" s="73"/>
      <c r="B129" s="73"/>
    </row>
    <row customHeight="1" ht="11.25">
      <c r="A130" s="73"/>
      <c r="B130" s="73"/>
    </row>
    <row customHeight="1" ht="11.25">
      <c r="A131" s="73"/>
      <c r="B131" s="73"/>
    </row>
    <row customHeight="1" ht="11.25">
      <c r="A132" s="73"/>
      <c r="B132" s="73"/>
    </row>
    <row customHeight="1" ht="11.25">
      <c r="A133" s="73"/>
      <c r="B133" s="73"/>
    </row>
    <row customHeight="1" ht="11.25">
      <c r="A134" s="73"/>
      <c r="B134" s="73"/>
    </row>
    <row customHeight="1" ht="11.25">
      <c r="A135" s="73"/>
      <c r="B135" s="73"/>
    </row>
    <row customHeight="1" ht="11.25">
      <c r="A136" s="73"/>
      <c r="B136" s="73"/>
    </row>
    <row customHeight="1" ht="11.25">
      <c r="A137" s="73"/>
      <c r="B137" s="73"/>
    </row>
    <row customHeight="1" ht="11.25">
      <c r="A138" s="73"/>
      <c r="B138" s="73"/>
    </row>
    <row customHeight="1" ht="11.25">
      <c r="A139" s="73"/>
      <c r="B139" s="73"/>
    </row>
    <row customHeight="1" ht="11.25">
      <c r="A140" s="73"/>
      <c r="B140" s="73"/>
    </row>
    <row customHeight="1" ht="11.25">
      <c r="A141" s="73"/>
      <c r="B141" s="73"/>
    </row>
    <row customHeight="1" ht="11.25">
      <c r="A142" s="73"/>
      <c r="B142" s="73"/>
    </row>
    <row customHeight="1" ht="11.25">
      <c r="A143" s="73"/>
      <c r="B143" s="73"/>
    </row>
    <row customHeight="1" ht="11.25">
      <c r="A144" s="73"/>
      <c r="B144" s="73"/>
    </row>
    <row customHeight="1" ht="11.25">
      <c r="A145" s="73"/>
      <c r="B145" s="73"/>
    </row>
    <row customHeight="1" ht="11.25">
      <c r="A146" s="73"/>
      <c r="B146" s="73"/>
    </row>
    <row customHeight="1" ht="11.25">
      <c r="A147" s="73"/>
      <c r="B147" s="73"/>
    </row>
    <row customHeight="1" ht="11.25">
      <c r="A148" s="73"/>
      <c r="B148" s="73"/>
    </row>
    <row customHeight="1" ht="11.25">
      <c r="A149" s="73"/>
      <c r="B149" s="73"/>
    </row>
    <row customHeight="1" ht="11.25">
      <c r="A150" s="73"/>
      <c r="B150" s="73"/>
    </row>
    <row customHeight="1" ht="11.25">
      <c r="A151" s="73"/>
      <c r="B151" s="73"/>
    </row>
    <row customHeight="1" ht="11.25">
      <c r="A152" s="73"/>
      <c r="B152" s="73"/>
    </row>
    <row customHeight="1" ht="11.25">
      <c r="A153" s="73"/>
      <c r="B153" s="73"/>
    </row>
    <row customHeight="1" ht="11.25">
      <c r="A154" s="73"/>
      <c r="B154" s="73"/>
    </row>
    <row customHeight="1" ht="11.25">
      <c r="A155" s="73"/>
      <c r="B155" s="73"/>
    </row>
    <row customHeight="1" ht="11.25">
      <c r="A156" s="73"/>
      <c r="B156" s="73"/>
    </row>
    <row customHeight="1" ht="11.25">
      <c r="A157" s="73"/>
      <c r="B157" s="73"/>
    </row>
    <row customHeight="1" ht="11.25">
      <c r="A158" s="73"/>
      <c r="B158" s="73"/>
    </row>
    <row customHeight="1" ht="11.25">
      <c r="A159" s="73"/>
      <c r="B159" s="73"/>
    </row>
    <row customHeight="1" ht="11.25">
      <c r="A160" s="73"/>
      <c r="B160" s="73"/>
    </row>
    <row customHeight="1" ht="11.25">
      <c r="A161" s="73"/>
      <c r="B161" s="73"/>
    </row>
    <row customHeight="1" ht="11.25">
      <c r="A162" s="73"/>
      <c r="B162" s="73"/>
    </row>
    <row customHeight="1" ht="11.25">
      <c r="A163" s="73"/>
      <c r="B163" s="73"/>
    </row>
    <row customHeight="1" ht="11.25">
      <c r="A164" s="73"/>
      <c r="B164" s="73"/>
    </row>
    <row customHeight="1" ht="11.25">
      <c r="A165" s="73"/>
      <c r="B165" s="73"/>
    </row>
    <row customHeight="1" ht="11.25">
      <c r="A166" s="73"/>
      <c r="B166" s="73"/>
    </row>
    <row customHeight="1" ht="11.25">
      <c r="A167" s="73"/>
      <c r="B167" s="73"/>
    </row>
    <row customHeight="1" ht="11.25">
      <c r="A168" s="73"/>
      <c r="B168" s="73"/>
    </row>
    <row customHeight="1" ht="11.25">
      <c r="A169" s="73"/>
      <c r="B169" s="73"/>
    </row>
    <row customHeight="1" ht="11.25">
      <c r="A170" s="73"/>
      <c r="B170" s="73"/>
    </row>
    <row customHeight="1" ht="11.25">
      <c r="A171" s="73"/>
      <c r="B171" s="73"/>
    </row>
    <row customHeight="1" ht="11.25">
      <c r="A172" s="73"/>
      <c r="B172" s="73"/>
    </row>
    <row customHeight="1" ht="11.25">
      <c r="A173" s="73"/>
      <c r="B173" s="73"/>
    </row>
    <row customHeight="1" ht="11.25">
      <c r="A174" s="73"/>
      <c r="B174" s="73"/>
    </row>
    <row customHeight="1" ht="11.25">
      <c r="A175" s="73"/>
      <c r="B175" s="73"/>
    </row>
    <row customHeight="1" ht="11.25">
      <c r="A176" s="73"/>
      <c r="B176" s="73"/>
    </row>
    <row customHeight="1" ht="11.25">
      <c r="A177" s="73"/>
      <c r="B177" s="73"/>
    </row>
    <row customHeight="1" ht="11.25">
      <c r="A178" s="73"/>
      <c r="B178" s="73"/>
    </row>
    <row customHeight="1" ht="11.25">
      <c r="A179" s="73"/>
      <c r="B179" s="73"/>
    </row>
    <row customHeight="1" ht="11.25">
      <c r="A180" s="73"/>
      <c r="B180" s="73"/>
    </row>
    <row customHeight="1" ht="11.25">
      <c r="A181" s="73"/>
      <c r="B181" s="73"/>
    </row>
    <row customHeight="1" ht="11.25">
      <c r="A182" s="73"/>
      <c r="B182" s="73"/>
    </row>
    <row customHeight="1" ht="11.25">
      <c r="A183" s="73"/>
      <c r="B183" s="73"/>
    </row>
    <row customHeight="1" ht="11.25">
      <c r="A184" s="73"/>
      <c r="B184" s="73"/>
    </row>
    <row customHeight="1" ht="11.25">
      <c r="A185" s="73"/>
      <c r="B185" s="73"/>
    </row>
    <row customHeight="1" ht="11.25">
      <c r="A186" s="73"/>
      <c r="B186" s="73"/>
    </row>
    <row customHeight="1" ht="11.25">
      <c r="A187" s="73"/>
      <c r="B187" s="73"/>
    </row>
    <row customHeight="1" ht="11.25">
      <c r="A188" s="73"/>
      <c r="B188" s="73"/>
    </row>
    <row customHeight="1" ht="11.25">
      <c r="A189" s="73"/>
      <c r="B189" s="73"/>
    </row>
    <row customHeight="1" ht="11.25">
      <c r="A190" s="73"/>
      <c r="B190" s="73"/>
    </row>
    <row customHeight="1" ht="11.25">
      <c r="A191" s="73"/>
      <c r="B191" s="73"/>
    </row>
    <row customHeight="1" ht="11.25">
      <c r="A192" s="73"/>
      <c r="B192" s="73"/>
    </row>
    <row customHeight="1" ht="11.25">
      <c r="A193" s="73"/>
      <c r="B193" s="73"/>
    </row>
    <row customHeight="1" ht="11.25">
      <c r="A194" s="73"/>
      <c r="B194" s="73"/>
    </row>
    <row customHeight="1" ht="11.25">
      <c r="A195" s="73"/>
      <c r="B195" s="73"/>
    </row>
    <row customHeight="1" ht="11.25">
      <c r="A196" s="73"/>
      <c r="B196" s="73"/>
    </row>
    <row customHeight="1" ht="11.25">
      <c r="A197" s="73"/>
      <c r="B197" s="73"/>
    </row>
    <row customHeight="1" ht="11.25">
      <c r="A198" s="73"/>
      <c r="B198" s="73"/>
    </row>
    <row customHeight="1" ht="11.25">
      <c r="A199" s="73"/>
      <c r="B199" s="73"/>
    </row>
    <row customHeight="1" ht="11.25">
      <c r="A200" s="73"/>
      <c r="B200" s="73"/>
    </row>
    <row customHeight="1" ht="11.25">
      <c r="A201" s="73"/>
      <c r="B201" s="73"/>
    </row>
    <row customHeight="1" ht="11.25">
      <c r="A202" s="73"/>
      <c r="B202" s="73"/>
    </row>
    <row customHeight="1" ht="11.25">
      <c r="A203" s="73"/>
      <c r="B203" s="73"/>
    </row>
    <row customHeight="1" ht="11.25">
      <c r="A204" s="73"/>
      <c r="B204" s="73"/>
    </row>
    <row customHeight="1" ht="11.25">
      <c r="A205" s="73"/>
      <c r="B205" s="73"/>
    </row>
    <row customHeight="1" ht="11.25">
      <c r="A206" s="73"/>
      <c r="B206" s="73"/>
    </row>
    <row customHeight="1" ht="11.25">
      <c r="A207" s="73"/>
      <c r="B207" s="73"/>
    </row>
    <row customHeight="1" ht="11.25">
      <c r="A208" s="73"/>
      <c r="B208" s="73"/>
    </row>
    <row customHeight="1" ht="11.25">
      <c r="A209" s="73"/>
      <c r="B209" s="73"/>
    </row>
    <row customHeight="1" ht="11.25">
      <c r="A210" s="73"/>
      <c r="B210" s="73"/>
    </row>
    <row customHeight="1" ht="11.25">
      <c r="A211" s="73"/>
      <c r="B211" s="73"/>
    </row>
    <row customHeight="1" ht="11.25">
      <c r="A212" s="73"/>
      <c r="B212" s="73"/>
    </row>
    <row customHeight="1" ht="11.25">
      <c r="A213" s="73"/>
      <c r="B213" s="73"/>
    </row>
    <row customHeight="1" ht="11.25">
      <c r="A214" s="73"/>
      <c r="B214" s="73"/>
    </row>
    <row customHeight="1" ht="11.25">
      <c r="A215" s="73"/>
      <c r="B215" s="73"/>
    </row>
    <row customHeight="1" ht="11.25">
      <c r="A216" s="73"/>
      <c r="B216" s="73"/>
    </row>
    <row customHeight="1" ht="11.25">
      <c r="A217" s="73"/>
      <c r="B217" s="73"/>
    </row>
    <row customHeight="1" ht="11.25">
      <c r="A218" s="73"/>
      <c r="B218" s="73"/>
    </row>
    <row customHeight="1" ht="11.25">
      <c r="A219" s="73"/>
      <c r="B219" s="73"/>
    </row>
    <row customHeight="1" ht="11.25">
      <c r="A220" s="73"/>
      <c r="B220" s="73"/>
    </row>
    <row customHeight="1" ht="11.25">
      <c r="A221" s="73"/>
      <c r="B221" s="73"/>
    </row>
    <row customHeight="1" ht="11.25">
      <c r="A222" s="73"/>
      <c r="B222" s="73"/>
    </row>
    <row customHeight="1" ht="11.25">
      <c r="A223" s="73"/>
      <c r="B223" s="73"/>
    </row>
    <row customHeight="1" ht="11.25">
      <c r="A224" s="73"/>
      <c r="B224" s="73"/>
    </row>
    <row customHeight="1" ht="11.25">
      <c r="A225" s="73"/>
      <c r="B225" s="73"/>
    </row>
    <row customHeight="1" ht="11.25">
      <c r="A226" s="73"/>
      <c r="B226" s="73"/>
    </row>
    <row customHeight="1" ht="11.25">
      <c r="A227" s="73"/>
      <c r="B227" s="73"/>
    </row>
    <row customHeight="1" ht="11.25">
      <c r="A228" s="73"/>
      <c r="B228" s="73"/>
    </row>
    <row customHeight="1" ht="11.25">
      <c r="A229" s="73"/>
      <c r="B229" s="73"/>
    </row>
    <row customHeight="1" ht="11.25">
      <c r="A230" s="73"/>
      <c r="B230" s="73"/>
    </row>
    <row customHeight="1" ht="11.25">
      <c r="A231" s="73"/>
      <c r="B231" s="73"/>
    </row>
    <row customHeight="1" ht="11.25">
      <c r="A232" s="73"/>
      <c r="B232" s="73"/>
    </row>
    <row customHeight="1" ht="11.25">
      <c r="A233" s="73"/>
      <c r="B233" s="73"/>
    </row>
    <row customHeight="1" ht="11.25">
      <c r="A234" s="73"/>
      <c r="B234" s="73"/>
    </row>
    <row customHeight="1" ht="11.25">
      <c r="A235" s="73"/>
      <c r="B235" s="73"/>
    </row>
    <row customHeight="1" ht="11.25">
      <c r="A236" s="73"/>
      <c r="B236" s="73"/>
    </row>
    <row customHeight="1" ht="11.25">
      <c r="A237" s="73"/>
      <c r="B237" s="73"/>
    </row>
    <row customHeight="1" ht="11.25">
      <c r="A238" s="73"/>
      <c r="B238" s="73"/>
    </row>
    <row customHeight="1" ht="11.25">
      <c r="A239" s="73"/>
      <c r="B239" s="73"/>
    </row>
    <row customHeight="1" ht="11.25">
      <c r="A240" s="73"/>
      <c r="B240" s="73"/>
    </row>
    <row customHeight="1" ht="11.25">
      <c r="A241" s="73"/>
      <c r="B241" s="73"/>
    </row>
    <row customHeight="1" ht="11.25">
      <c r="A242" s="73"/>
      <c r="B242" s="73"/>
    </row>
    <row customHeight="1" ht="11.25">
      <c r="A243" s="73"/>
      <c r="B243" s="73"/>
    </row>
    <row customHeight="1" ht="11.25">
      <c r="A244" s="73"/>
      <c r="B244" s="73"/>
    </row>
    <row customHeight="1" ht="11.25">
      <c r="A245" s="73"/>
      <c r="B245" s="73"/>
    </row>
    <row customHeight="1" ht="11.25">
      <c r="A246" s="73"/>
      <c r="B246" s="73"/>
    </row>
    <row customHeight="1" ht="11.25">
      <c r="A247" s="73"/>
      <c r="B247" s="73"/>
    </row>
    <row customHeight="1" ht="11.25">
      <c r="A248" s="73"/>
      <c r="B248" s="73"/>
    </row>
    <row customHeight="1" ht="11.25">
      <c r="A249" s="73"/>
      <c r="B249" s="73"/>
    </row>
    <row customHeight="1" ht="11.25">
      <c r="A250" s="73"/>
      <c r="B250" s="73"/>
    </row>
    <row customHeight="1" ht="11.25">
      <c r="A251" s="73"/>
      <c r="B251" s="73"/>
    </row>
    <row customHeight="1" ht="11.25">
      <c r="A252" s="73"/>
      <c r="B252" s="73"/>
    </row>
    <row customHeight="1" ht="11.25">
      <c r="A253" s="73"/>
      <c r="B253" s="73"/>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FB4D2D-D8D1-5C21-3A67-0.FB69757E}"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6" width="3.7109375" customWidth="1"/>
    <col min="2" max="2" style="1856" width="90.7109375" customWidth="1"/>
    <col min="3" max="4" style="1856" width="9.140625"/>
  </cols>
  <sheetData>
    <row customHeight="1" ht="11.25">
      <c r="B1" s="102" t="s">
        <v>3959</v>
      </c>
    </row>
    <row customHeight="1" ht="90">
      <c r="B2" s="103" t="s">
        <v>3960</v>
      </c>
    </row>
    <row customHeight="1" ht="67.5">
      <c r="B3" s="103" t="s">
        <v>3961</v>
      </c>
    </row>
    <row customHeight="1" ht="33.75">
      <c r="B4" s="103" t="s">
        <v>3962</v>
      </c>
    </row>
    <row customHeight="1" ht="11.25">
      <c r="B5" s="103" t="s">
        <v>3963</v>
      </c>
    </row>
    <row customHeight="1" ht="22.5">
      <c r="B6" s="103" t="s">
        <v>3964</v>
      </c>
    </row>
    <row customHeight="1" ht="22.5">
      <c r="B7" s="103" t="s">
        <v>3965</v>
      </c>
    </row>
    <row customHeight="1" ht="22.5">
      <c r="B8" s="103" t="s">
        <v>3966</v>
      </c>
    </row>
    <row customHeight="1" ht="22.5">
      <c r="B9" s="103" t="s">
        <v>3967</v>
      </c>
    </row>
    <row customHeight="1" ht="56.25">
      <c r="B10" s="103" t="s">
        <v>3968</v>
      </c>
    </row>
    <row customHeight="1" ht="12.75">
      <c r="B11" s="168" t="s">
        <v>3969</v>
      </c>
    </row>
    <row customHeight="1" ht="11.25">
      <c r="B12" s="102" t="s">
        <v>3970</v>
      </c>
    </row>
    <row customHeight="1" ht="22.5">
      <c r="B13" s="103" t="s">
        <v>3971</v>
      </c>
    </row>
    <row customHeight="1" ht="67.5">
      <c r="B14" s="103" t="s">
        <v>3972</v>
      </c>
    </row>
    <row customHeight="1" ht="22.5">
      <c r="B15" s="103" t="s">
        <v>3973</v>
      </c>
    </row>
    <row customHeight="1" ht="11.25">
      <c r="B16" s="102" t="s">
        <v>3974</v>
      </c>
      <c r="D16" s="109"/>
    </row>
    <row customHeight="1" ht="33.75">
      <c r="B17" s="103" t="s">
        <v>3975</v>
      </c>
    </row>
    <row customHeight="1" ht="33.75">
      <c r="B18" s="103" t="s">
        <v>3976</v>
      </c>
    </row>
    <row customHeight="1" ht="11.25">
      <c r="B19" s="103" t="s">
        <v>3977</v>
      </c>
    </row>
    <row customHeight="1" ht="33.75">
      <c r="B20" s="103" t="s">
        <v>3978</v>
      </c>
    </row>
    <row customHeight="1" ht="11.25">
      <c r="B21" s="102" t="s">
        <v>3979</v>
      </c>
    </row>
    <row customHeight="1" ht="11.25">
      <c r="B22" s="103" t="s">
        <v>3980</v>
      </c>
    </row>
    <row r="24" customHeight="1" ht="22.5">
      <c r="B24" s="170" t="s">
        <v>3981</v>
      </c>
    </row>
    <row r="26" customHeight="1" ht="11.25">
      <c r="B26" s="102" t="s">
        <v>3982</v>
      </c>
    </row>
    <row customHeight="1" ht="22.5">
      <c r="B27" s="169" t="s">
        <v>411</v>
      </c>
    </row>
    <row customHeight="1" ht="56.25">
      <c r="B28" s="169" t="s">
        <v>3983</v>
      </c>
    </row>
    <row customHeight="1" ht="11.25">
      <c r="B29" s="219" t="s">
        <v>3984</v>
      </c>
    </row>
    <row customHeight="1" ht="22.5">
      <c r="B30" s="169" t="s">
        <v>3985</v>
      </c>
    </row>
    <row r="32" customHeight="1" ht="11.25">
      <c r="A32" s="197"/>
      <c r="B32" s="198" t="s">
        <v>3986</v>
      </c>
    </row>
    <row customHeight="1" ht="14.25">
      <c r="A33" s="199">
        <v>1</v>
      </c>
      <c r="B33" s="200" t="s">
        <v>3987</v>
      </c>
    </row>
    <row customHeight="1" ht="14.25">
      <c r="A34" s="199">
        <v>2</v>
      </c>
      <c r="B34" s="200" t="s">
        <v>3988</v>
      </c>
    </row>
    <row customHeight="1" ht="11.25">
      <c r="B35" s="198" t="s">
        <v>3989</v>
      </c>
    </row>
    <row customHeight="1" ht="11.25">
      <c r="B36" s="200" t="s">
        <v>3990</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A2FF3F-1BA7-6008-8352-0.DD3239CA}"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41" width="9.140625" hidden="1" customWidth="1"/>
    <col min="2" max="2" style="1644" width="9.140625" hidden="1" customWidth="1"/>
    <col min="3" max="3" style="1848" width="3.00390625" customWidth="1"/>
    <col min="4" max="4" style="1644" width="5.00390625" customWidth="1"/>
    <col min="5" max="5" style="1644" width="38.00390625" customWidth="1"/>
    <col min="6" max="7" style="1644" width="3.00390625" customWidth="1"/>
    <col min="8" max="8" style="1644" width="38.00390625" customWidth="1"/>
    <col min="9" max="9" style="1644" width="35.00390625" customWidth="1"/>
    <col min="10" max="10" style="1644" width="103.00390625" customWidth="1"/>
    <col min="11" max="11" style="1827" width="3.00390625" customWidth="1"/>
    <col min="12" max="14" style="1651" width="10.00390625" customWidth="1"/>
    <col min="15" max="15" style="1651" width="13.00390625" customWidth="1"/>
    <col min="16" max="16" style="1651" width="15.00390625" customWidth="1"/>
    <col min="17" max="17" style="1651" width="16.00390625" customWidth="1"/>
    <col min="18" max="21" style="1651" width="10.00390625" customWidth="1"/>
    <col min="22" max="22" style="1644" width="10.57421875" hidden="1"/>
  </cols>
  <sheetData>
    <row customHeight="1" ht="22.5" hidden="1">
      <c r="E1" s="421"/>
      <c r="F1" s="421"/>
      <c r="G1" s="421"/>
      <c r="H1" s="2245" t="s">
        <v>367</v>
      </c>
      <c r="I1" s="2245"/>
      <c r="V1" s="1616" t="s">
        <v>14</v>
      </c>
    </row>
    <row s="1644" customFormat="1" customHeight="1" ht="14.25" hidden="1">
      <c r="C2" s="1628"/>
      <c r="D2" s="2261" t="s">
        <v>118</v>
      </c>
      <c r="E2" s="2263"/>
      <c r="F2" s="1634"/>
      <c r="G2" s="1629" t="s">
        <v>118</v>
      </c>
      <c r="H2" s="1632"/>
      <c r="I2" s="1630"/>
      <c r="L2" s="1631"/>
      <c r="M2" s="1631"/>
      <c r="N2" s="1631"/>
      <c r="O2" s="1631" t="s">
        <v>397</v>
      </c>
      <c r="P2" s="1631"/>
      <c r="Q2" s="1631"/>
      <c r="R2" s="1633" t="s">
        <v>396</v>
      </c>
      <c r="S2" s="1633" t="s">
        <v>396</v>
      </c>
      <c r="T2" s="1631"/>
      <c r="U2" s="1631"/>
      <c r="V2" s="1627">
        <v>0</v>
      </c>
    </row>
    <row s="1644" customFormat="1" customHeight="1" ht="14.25" hidden="1">
      <c r="C3" s="1628"/>
      <c r="D3" s="2262"/>
      <c r="E3" s="2264"/>
      <c r="F3" s="414"/>
      <c r="G3" s="878"/>
      <c r="H3" s="878" t="s">
        <v>398</v>
      </c>
      <c r="I3" s="322"/>
      <c r="L3" s="1631"/>
      <c r="M3" s="1631"/>
      <c r="N3" s="1631"/>
      <c r="O3" s="1631"/>
      <c r="P3" s="1631"/>
      <c r="Q3" s="1631"/>
      <c r="R3" s="1633"/>
      <c r="S3" s="1633"/>
      <c r="T3" s="1631"/>
      <c r="U3" s="1631"/>
      <c r="V3" s="1627">
        <v>0</v>
      </c>
    </row>
    <row customHeight="1" ht="14.25" hidden="1">
      <c r="V4" s="1616">
        <v>0</v>
      </c>
    </row>
    <row s="1622" customFormat="1" customHeight="1" ht="5.25">
      <c r="C5" s="710"/>
      <c r="D5" s="711"/>
      <c r="E5" s="711"/>
      <c r="F5" s="711"/>
      <c r="G5" s="711"/>
      <c r="H5" s="711" t="s">
        <v>371</v>
      </c>
      <c r="I5" s="711"/>
      <c r="J5" s="711"/>
      <c r="L5" s="1623"/>
      <c r="M5" s="1623"/>
      <c r="N5" s="1623"/>
      <c r="O5" s="1623"/>
      <c r="P5" s="1623"/>
      <c r="Q5" s="1623"/>
      <c r="R5" s="1623"/>
      <c r="S5" s="1623"/>
      <c r="T5" s="1623"/>
      <c r="U5" s="1623"/>
      <c r="V5" s="1622">
        <v>5</v>
      </c>
    </row>
    <row customHeight="1" ht="29.25">
      <c r="C6" s="1525"/>
      <c r="D6" s="2265" t="s">
        <v>399</v>
      </c>
      <c r="E6" s="2265"/>
      <c r="F6" s="2265"/>
      <c r="G6" s="2265"/>
      <c r="H6" s="2265"/>
      <c r="I6" s="2265"/>
      <c r="J6" s="500"/>
      <c r="K6" s="1624"/>
      <c r="V6" s="1616">
        <v>28</v>
      </c>
    </row>
    <row customHeight="1" ht="18">
      <c r="C7" s="1525"/>
      <c r="D7" s="2204" t="str">
        <f>IF(org=0,"Не определено",org)</f>
        <v>АО "ДГК"</v>
      </c>
      <c r="E7" s="2204"/>
      <c r="F7" s="2204"/>
      <c r="G7" s="2204"/>
      <c r="H7" s="2204"/>
      <c r="I7" s="2204"/>
      <c r="J7" s="500"/>
      <c r="K7" s="1624"/>
      <c r="V7" s="1616">
        <v>17</v>
      </c>
    </row>
    <row s="1621" customFormat="1" customHeight="1" ht="5.25">
      <c r="A8" s="1620"/>
      <c r="C8" s="495"/>
      <c r="D8" s="494"/>
      <c r="E8" s="494"/>
      <c r="F8" s="494"/>
      <c r="G8" s="494"/>
      <c r="H8" s="494"/>
      <c r="I8" s="494"/>
      <c r="J8" s="494"/>
      <c r="L8" s="1623"/>
      <c r="M8" s="1623"/>
      <c r="N8" s="1623"/>
      <c r="O8" s="1623"/>
      <c r="P8" s="1623"/>
      <c r="Q8" s="1623"/>
      <c r="R8" s="1623"/>
      <c r="S8" s="1623"/>
      <c r="T8" s="1623"/>
      <c r="U8" s="1623"/>
      <c r="V8" s="1621">
        <v>5</v>
      </c>
    </row>
    <row s="1621" customFormat="1" customHeight="1" ht="5.25">
      <c r="A9" s="1620"/>
      <c r="C9" s="495"/>
      <c r="D9" s="494"/>
      <c r="E9" s="494"/>
      <c r="F9" s="494"/>
      <c r="G9" s="494"/>
      <c r="H9" s="494"/>
      <c r="I9" s="494"/>
      <c r="J9" s="494"/>
      <c r="L9" s="1631"/>
      <c r="M9" s="1631"/>
      <c r="N9" s="1631"/>
      <c r="O9" s="1631"/>
      <c r="P9" s="1631"/>
      <c r="Q9" s="1631"/>
      <c r="R9" s="1631"/>
      <c r="S9" s="1631"/>
      <c r="T9" s="1631"/>
      <c r="U9" s="1631"/>
      <c r="V9" s="1621">
        <v>5</v>
      </c>
    </row>
    <row customHeight="1" ht="14.699999999999998">
      <c r="C10" s="1525"/>
      <c r="D10" s="2246" t="s">
        <v>315</v>
      </c>
      <c r="E10" s="2247"/>
      <c r="F10" s="2247"/>
      <c r="G10" s="2247"/>
      <c r="H10" s="2247"/>
      <c r="I10" s="2247"/>
      <c r="J10" s="2251" t="s">
        <v>316</v>
      </c>
      <c r="V10" s="1616">
        <v>14</v>
      </c>
    </row>
    <row customHeight="1" ht="27.299999999999997">
      <c r="C11" s="1525"/>
      <c r="D11" s="2155" t="s">
        <v>89</v>
      </c>
      <c r="E11" s="2251" t="s">
        <v>114</v>
      </c>
      <c r="F11" s="2220" t="s">
        <v>89</v>
      </c>
      <c r="G11" s="2221"/>
      <c r="H11" s="2203" t="s">
        <v>400</v>
      </c>
      <c r="I11" s="2203" t="s">
        <v>401</v>
      </c>
      <c r="J11" s="2251"/>
      <c r="V11" s="1616">
        <v>26</v>
      </c>
    </row>
    <row customHeight="1" ht="14.699999999999998">
      <c r="C12" s="1525"/>
      <c r="D12" s="2155"/>
      <c r="E12" s="2251"/>
      <c r="F12" s="2228"/>
      <c r="G12" s="2229"/>
      <c r="H12" s="2260"/>
      <c r="I12" s="2260"/>
      <c r="J12" s="2251"/>
      <c r="V12" s="1616">
        <v>14</v>
      </c>
    </row>
    <row s="1650" customFormat="1" customHeight="1" ht="11.25" hidden="1">
      <c r="C13" s="507"/>
      <c r="D13" s="508" t="s">
        <v>391</v>
      </c>
      <c r="E13" s="508"/>
      <c r="F13" s="508"/>
      <c r="G13" s="508"/>
      <c r="H13" s="506"/>
      <c r="I13" s="506"/>
      <c r="J13" s="444"/>
      <c r="L13" s="1623"/>
      <c r="M13" s="1623"/>
      <c r="N13" s="1623"/>
      <c r="O13" s="1623"/>
      <c r="P13" s="1623"/>
      <c r="Q13" s="1623"/>
      <c r="R13" s="1623"/>
      <c r="S13" s="1623"/>
      <c r="T13" s="1623"/>
      <c r="U13" s="1623"/>
      <c r="V13" s="505">
        <v>0</v>
      </c>
    </row>
    <row customHeight="1" ht="14.699999999999998">
      <c r="A14" s="1616"/>
      <c r="C14" s="1525"/>
      <c r="D14" s="2261" t="s">
        <v>118</v>
      </c>
      <c r="E14" s="2263"/>
      <c r="F14" s="1626"/>
      <c r="G14" s="1625" t="s">
        <v>118</v>
      </c>
      <c r="H14" s="1632"/>
      <c r="I14" s="1630"/>
      <c r="J14" s="2197" t="s">
        <v>402</v>
      </c>
      <c r="K14" s="1616"/>
      <c r="R14" s="509" t="s">
        <v>396</v>
      </c>
      <c r="S14" s="509" t="s">
        <v>396</v>
      </c>
      <c r="V14" s="1616">
        <v>14</v>
      </c>
    </row>
    <row customHeight="1" ht="14.699999999999998">
      <c r="A15" s="1616"/>
      <c r="C15" s="1525"/>
      <c r="D15" s="2262"/>
      <c r="E15" s="2264"/>
      <c r="F15" s="414"/>
      <c r="G15" s="878"/>
      <c r="H15" s="878" t="s">
        <v>398</v>
      </c>
      <c r="I15" s="322"/>
      <c r="J15" s="2198"/>
      <c r="K15" s="1616"/>
      <c r="R15" s="509"/>
      <c r="S15" s="509"/>
      <c r="V15" s="1616">
        <v>14</v>
      </c>
    </row>
    <row customHeight="1" ht="14.699999999999998">
      <c r="A16" s="1616"/>
      <c r="C16" s="1525"/>
      <c r="D16" s="414"/>
      <c r="E16" s="878" t="s">
        <v>138</v>
      </c>
      <c r="F16" s="322"/>
      <c r="G16" s="322"/>
      <c r="H16" s="415"/>
      <c r="I16" s="415"/>
      <c r="J16" s="2199"/>
      <c r="K16" s="1616"/>
      <c r="V16" s="1616">
        <v>14</v>
      </c>
    </row>
    <row customHeight="1" ht="14.699999999999998">
      <c r="K17" s="1616"/>
      <c r="V17" s="1616">
        <v>14</v>
      </c>
    </row>
    <row customHeight="1" ht="22.5" hidden="1">
      <c r="A18" s="1617" t="s">
        <v>83</v>
      </c>
      <c r="B18" s="1616">
        <v>0</v>
      </c>
      <c r="C18" s="460">
        <v>3</v>
      </c>
      <c r="D18" s="1616">
        <v>5</v>
      </c>
      <c r="E18" s="1616">
        <v>38</v>
      </c>
      <c r="F18" s="1616">
        <v>3</v>
      </c>
      <c r="G18" s="1616">
        <v>3</v>
      </c>
      <c r="H18" s="1616">
        <v>38</v>
      </c>
      <c r="I18" s="1616">
        <v>35</v>
      </c>
      <c r="J18" s="1616">
        <v>103</v>
      </c>
      <c r="K18" s="1618">
        <v>3</v>
      </c>
      <c r="L18" s="1623">
        <v>10</v>
      </c>
      <c r="M18" s="1623">
        <v>10</v>
      </c>
      <c r="N18" s="1623">
        <v>10</v>
      </c>
      <c r="O18" s="1623">
        <v>13</v>
      </c>
      <c r="P18" s="1623">
        <v>15</v>
      </c>
      <c r="Q18" s="1623">
        <v>16</v>
      </c>
      <c r="R18" s="1623">
        <v>10</v>
      </c>
      <c r="S18" s="1623">
        <v>10</v>
      </c>
      <c r="T18" s="1623">
        <v>10</v>
      </c>
      <c r="U18" s="1623">
        <v>10</v>
      </c>
      <c r="V18" s="1616">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2208</vt:i4>
      </vt:variant>
    </vt:vector>
  </HeadingPairs>
  <TitlesOfParts>
    <vt:vector size="2209"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BLOCK_PRICE_TYPE</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isPrint</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kind_of_type_price</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TITLE_PRICE_TYPE</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2024-05-27T10:18:30Z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